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9. APMC\"/>
    </mc:Choice>
  </mc:AlternateContent>
  <xr:revisionPtr revIDLastSave="0" documentId="13_ncr:1_{A792880F-2C27-447B-B09E-6DB127AEC47C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Assumptions" sheetId="22" r:id="rId15"/>
    <sheet name="For word file" sheetId="20" state="hidden" r:id="rId16"/>
    <sheet name="Sheet1" sheetId="15" state="hidden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E17" i="4"/>
  <c r="F17" i="4" s="1"/>
  <c r="G17" i="4" s="1"/>
  <c r="H17" i="4" s="1"/>
  <c r="I17" i="4" s="1"/>
  <c r="J17" i="4" s="1"/>
  <c r="K17" i="4" s="1"/>
  <c r="B14" i="19"/>
  <c r="B16" i="19" s="1"/>
  <c r="C11" i="1"/>
  <c r="F6" i="3"/>
  <c r="F7" i="3" s="1"/>
  <c r="F12" i="3"/>
  <c r="F17" i="3" s="1"/>
  <c r="C19" i="1" s="1"/>
  <c r="D27" i="4"/>
  <c r="E27" i="4"/>
  <c r="F27" i="4"/>
  <c r="G27" i="4"/>
  <c r="H27" i="4"/>
  <c r="I27" i="4"/>
  <c r="J27" i="4"/>
  <c r="K27" i="4"/>
  <c r="C27" i="4"/>
  <c r="D7" i="22" l="1"/>
  <c r="E6" i="22"/>
  <c r="E7" i="22" s="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J19" i="18"/>
  <c r="I19" i="18"/>
  <c r="H19" i="18"/>
  <c r="G19" i="18"/>
  <c r="F19" i="18"/>
  <c r="E19" i="18"/>
  <c r="D19" i="18"/>
  <c r="C19" i="18"/>
  <c r="B19" i="18"/>
  <c r="F6" i="22" l="1"/>
  <c r="F7" i="22" s="1"/>
  <c r="C44" i="4"/>
  <c r="D43" i="4"/>
  <c r="D24" i="11"/>
  <c r="D23" i="11"/>
  <c r="I40" i="7"/>
  <c r="J40" i="7"/>
  <c r="K40" i="7"/>
  <c r="E10" i="11"/>
  <c r="E43" i="4" l="1"/>
  <c r="D44" i="4"/>
  <c r="G6" i="22"/>
  <c r="G7" i="22"/>
  <c r="H6" i="22"/>
  <c r="B19" i="19"/>
  <c r="F43" i="4" l="1"/>
  <c r="E44" i="4"/>
  <c r="H7" i="22"/>
  <c r="I6" i="22"/>
  <c r="D26" i="11"/>
  <c r="F5" i="11"/>
  <c r="E9" i="11"/>
  <c r="B6" i="19"/>
  <c r="B8" i="19" s="1"/>
  <c r="I6" i="19"/>
  <c r="J7" i="4" s="1"/>
  <c r="J9" i="4" s="1"/>
  <c r="H6" i="19"/>
  <c r="I7" i="4" s="1"/>
  <c r="I9" i="4" s="1"/>
  <c r="D6" i="19"/>
  <c r="E7" i="4" s="1"/>
  <c r="E9" i="4" s="1"/>
  <c r="G6" i="19"/>
  <c r="H7" i="4" s="1"/>
  <c r="H9" i="4" s="1"/>
  <c r="F6" i="19"/>
  <c r="G7" i="4" s="1"/>
  <c r="G9" i="4" s="1"/>
  <c r="E6" i="19"/>
  <c r="F7" i="4" s="1"/>
  <c r="F9" i="4" s="1"/>
  <c r="C6" i="19"/>
  <c r="D7" i="4" s="1"/>
  <c r="D9" i="4" s="1"/>
  <c r="J6" i="19"/>
  <c r="K7" i="4" s="1"/>
  <c r="K9" i="4" s="1"/>
  <c r="G43" i="4" l="1"/>
  <c r="F44" i="4"/>
  <c r="F8" i="19"/>
  <c r="G22" i="4" s="1"/>
  <c r="I8" i="19"/>
  <c r="J22" i="4" s="1"/>
  <c r="J8" i="19"/>
  <c r="K22" i="4" s="1"/>
  <c r="C8" i="19"/>
  <c r="D22" i="4" s="1"/>
  <c r="E8" i="19"/>
  <c r="F22" i="4" s="1"/>
  <c r="G8" i="19"/>
  <c r="H22" i="4" s="1"/>
  <c r="D8" i="19"/>
  <c r="E22" i="4" s="1"/>
  <c r="H8" i="19"/>
  <c r="I22" i="4" s="1"/>
  <c r="I7" i="22"/>
  <c r="J6" i="22"/>
  <c r="F25" i="19"/>
  <c r="F7" i="19"/>
  <c r="G18" i="4" s="1"/>
  <c r="G25" i="19"/>
  <c r="E24" i="7"/>
  <c r="D25" i="19"/>
  <c r="D7" i="19"/>
  <c r="E18" i="4" s="1"/>
  <c r="H25" i="19"/>
  <c r="I25" i="19"/>
  <c r="J25" i="19"/>
  <c r="C22" i="4"/>
  <c r="B3" i="20" s="1"/>
  <c r="C7" i="4"/>
  <c r="C9" i="4" s="1"/>
  <c r="B25" i="19"/>
  <c r="B7" i="19"/>
  <c r="C18" i="4" s="1"/>
  <c r="E25" i="19"/>
  <c r="E7" i="19"/>
  <c r="F18" i="4" s="1"/>
  <c r="C25" i="19"/>
  <c r="C7" i="19"/>
  <c r="D18" i="4" s="1"/>
  <c r="H43" i="4" l="1"/>
  <c r="G44" i="4"/>
  <c r="D3" i="20"/>
  <c r="D13" i="7"/>
  <c r="C5" i="18" s="1"/>
  <c r="G24" i="7"/>
  <c r="D24" i="7"/>
  <c r="K24" i="7"/>
  <c r="F24" i="7"/>
  <c r="H24" i="7"/>
  <c r="J24" i="7"/>
  <c r="I24" i="7"/>
  <c r="C24" i="7"/>
  <c r="J7" i="22"/>
  <c r="K6" i="22"/>
  <c r="E26" i="19"/>
  <c r="C26" i="19"/>
  <c r="B26" i="19"/>
  <c r="B27" i="19" s="1"/>
  <c r="C12" i="4" s="1"/>
  <c r="D26" i="19"/>
  <c r="F26" i="19"/>
  <c r="G13" i="7"/>
  <c r="F3" i="20"/>
  <c r="J13" i="7"/>
  <c r="I3" i="20"/>
  <c r="F13" i="7"/>
  <c r="E3" i="20"/>
  <c r="K13" i="7"/>
  <c r="J3" i="20"/>
  <c r="I13" i="7"/>
  <c r="H3" i="20"/>
  <c r="H13" i="7"/>
  <c r="G3" i="20"/>
  <c r="C13" i="7"/>
  <c r="B5" i="18" s="1"/>
  <c r="B20" i="18" s="1"/>
  <c r="E7" i="11"/>
  <c r="I43" i="4" l="1"/>
  <c r="H44" i="4"/>
  <c r="E13" i="7"/>
  <c r="D5" i="18" s="1"/>
  <c r="C3" i="20"/>
  <c r="K7" i="22"/>
  <c r="L6" i="22"/>
  <c r="L7" i="22" s="1"/>
  <c r="B21" i="18"/>
  <c r="C24" i="19"/>
  <c r="C27" i="19" s="1"/>
  <c r="D12" i="4" s="1"/>
  <c r="J43" i="4" l="1"/>
  <c r="I44" i="4"/>
  <c r="D11" i="4"/>
  <c r="C12" i="7"/>
  <c r="D24" i="19"/>
  <c r="D27" i="19" s="1"/>
  <c r="E12" i="4" s="1"/>
  <c r="K43" i="4" l="1"/>
  <c r="K44" i="4" s="1"/>
  <c r="E11" i="11" s="1"/>
  <c r="D28" i="11" s="1"/>
  <c r="J44" i="4"/>
  <c r="E11" i="4"/>
  <c r="D12" i="7"/>
  <c r="E24" i="19"/>
  <c r="E27" i="19" s="1"/>
  <c r="F12" i="4" s="1"/>
  <c r="F11" i="4" l="1"/>
  <c r="E12" i="7"/>
  <c r="F24" i="19"/>
  <c r="F27" i="19" s="1"/>
  <c r="G12" i="4" s="1"/>
  <c r="C12" i="1"/>
  <c r="C35" i="1"/>
  <c r="C31" i="4" s="1"/>
  <c r="J28" i="4"/>
  <c r="K28" i="4"/>
  <c r="J9" i="18" s="1"/>
  <c r="C6" i="18"/>
  <c r="C6" i="10" l="1"/>
  <c r="G11" i="4"/>
  <c r="F12" i="7"/>
  <c r="G24" i="19"/>
  <c r="I9" i="18"/>
  <c r="J45" i="7"/>
  <c r="K45" i="7"/>
  <c r="C29" i="7"/>
  <c r="E6" i="9"/>
  <c r="E16" i="9"/>
  <c r="G7" i="19" l="1"/>
  <c r="H11" i="4"/>
  <c r="G12" i="7"/>
  <c r="D6" i="18"/>
  <c r="H18" i="4" l="1"/>
  <c r="G26" i="19"/>
  <c r="G27" i="19" s="1"/>
  <c r="H12" i="4" s="1"/>
  <c r="C8" i="4"/>
  <c r="C10" i="4" s="1"/>
  <c r="D8" i="4"/>
  <c r="D10" i="4" s="1"/>
  <c r="D13" i="4" s="1"/>
  <c r="D29" i="7"/>
  <c r="E6" i="18"/>
  <c r="E12" i="10"/>
  <c r="I33" i="7"/>
  <c r="J33" i="7"/>
  <c r="K33" i="7"/>
  <c r="E8" i="11"/>
  <c r="D25" i="11"/>
  <c r="J47" i="7"/>
  <c r="K47" i="7"/>
  <c r="C12" i="10"/>
  <c r="C20" i="1"/>
  <c r="C39" i="1" s="1"/>
  <c r="C16" i="1"/>
  <c r="F8" i="10"/>
  <c r="F7" i="10"/>
  <c r="E8" i="9"/>
  <c r="E7" i="9"/>
  <c r="C9" i="1"/>
  <c r="H24" i="19" l="1"/>
  <c r="F19" i="3"/>
  <c r="C7" i="15" s="1"/>
  <c r="D6" i="10"/>
  <c r="C8" i="2"/>
  <c r="C4" i="2" s="1"/>
  <c r="C13" i="4"/>
  <c r="C7" i="18"/>
  <c r="E9" i="9"/>
  <c r="E29" i="7"/>
  <c r="F6" i="18"/>
  <c r="D7" i="18"/>
  <c r="C13" i="10"/>
  <c r="C3" i="15"/>
  <c r="E13" i="10"/>
  <c r="K6" i="12"/>
  <c r="E5" i="12"/>
  <c r="H6" i="12"/>
  <c r="E6" i="12"/>
  <c r="D6" i="12"/>
  <c r="F6" i="12"/>
  <c r="F5" i="12"/>
  <c r="G5" i="12"/>
  <c r="I6" i="12"/>
  <c r="H7" i="19" l="1"/>
  <c r="I11" i="4"/>
  <c r="H12" i="7"/>
  <c r="C6" i="2"/>
  <c r="D4" i="14" s="1"/>
  <c r="D11" i="14" s="1"/>
  <c r="C9" i="7"/>
  <c r="D12" i="10"/>
  <c r="F6" i="10"/>
  <c r="F9" i="10" s="1"/>
  <c r="E8" i="4"/>
  <c r="E10" i="4" s="1"/>
  <c r="E13" i="4" s="1"/>
  <c r="E11" i="9"/>
  <c r="E12" i="9" s="1"/>
  <c r="F29" i="7"/>
  <c r="F3" i="15"/>
  <c r="E7" i="18"/>
  <c r="G6" i="18"/>
  <c r="C14" i="10"/>
  <c r="E3" i="15"/>
  <c r="D3" i="15"/>
  <c r="C18" i="7"/>
  <c r="E14" i="10"/>
  <c r="H5" i="12"/>
  <c r="J5" i="12"/>
  <c r="C6" i="12"/>
  <c r="J6" i="12"/>
  <c r="D5" i="12"/>
  <c r="I5" i="12"/>
  <c r="C5" i="12"/>
  <c r="G6" i="12"/>
  <c r="K5" i="12"/>
  <c r="D12" i="14" l="1"/>
  <c r="D13" i="14" s="1"/>
  <c r="C46" i="7"/>
  <c r="B15" i="18"/>
  <c r="E14" i="9"/>
  <c r="F14" i="11"/>
  <c r="C16" i="4"/>
  <c r="C19" i="4" s="1"/>
  <c r="B8" i="18" s="1"/>
  <c r="I18" i="4"/>
  <c r="H26" i="19"/>
  <c r="H27" i="19" s="1"/>
  <c r="I12" i="4" s="1"/>
  <c r="D13" i="10"/>
  <c r="D14" i="10" s="1"/>
  <c r="F12" i="10"/>
  <c r="C32" i="4" s="1"/>
  <c r="C10" i="7"/>
  <c r="C11" i="7" s="1"/>
  <c r="B10" i="13"/>
  <c r="C10" i="14"/>
  <c r="E10" i="14" s="1"/>
  <c r="C11" i="14"/>
  <c r="C9" i="14"/>
  <c r="E9" i="14" s="1"/>
  <c r="D16" i="4"/>
  <c r="F8" i="4"/>
  <c r="F10" i="4" s="1"/>
  <c r="F13" i="4" s="1"/>
  <c r="G29" i="7"/>
  <c r="H6" i="18"/>
  <c r="F7" i="18"/>
  <c r="C15" i="10"/>
  <c r="E15" i="10"/>
  <c r="D14" i="14" l="1"/>
  <c r="D15" i="14" s="1"/>
  <c r="D16" i="14" s="1"/>
  <c r="D17" i="14" s="1"/>
  <c r="C15" i="18"/>
  <c r="D46" i="7"/>
  <c r="I24" i="19"/>
  <c r="F14" i="10"/>
  <c r="E32" i="4" s="1"/>
  <c r="E10" i="7"/>
  <c r="D10" i="13"/>
  <c r="C10" i="13"/>
  <c r="D10" i="7"/>
  <c r="D15" i="10"/>
  <c r="D16" i="10" s="1"/>
  <c r="D17" i="10" s="1"/>
  <c r="F13" i="10"/>
  <c r="D32" i="4" s="1"/>
  <c r="D9" i="7"/>
  <c r="C39" i="7"/>
  <c r="E11" i="14"/>
  <c r="C12" i="14"/>
  <c r="E16" i="4"/>
  <c r="D19" i="4"/>
  <c r="D21" i="4" s="1"/>
  <c r="C21" i="4"/>
  <c r="G8" i="4"/>
  <c r="G10" i="4" s="1"/>
  <c r="G13" i="4" s="1"/>
  <c r="E5" i="18"/>
  <c r="H29" i="7"/>
  <c r="G7" i="18"/>
  <c r="G3" i="15"/>
  <c r="I6" i="18"/>
  <c r="C16" i="10"/>
  <c r="C17" i="10" s="1"/>
  <c r="E16" i="10"/>
  <c r="D18" i="14" l="1"/>
  <c r="D19" i="14" s="1"/>
  <c r="D20" i="14" s="1"/>
  <c r="D21" i="14" s="1"/>
  <c r="I7" i="19"/>
  <c r="J11" i="4"/>
  <c r="I12" i="7"/>
  <c r="F10" i="7"/>
  <c r="E12" i="14"/>
  <c r="C26" i="4" s="1"/>
  <c r="F17" i="11" s="1"/>
  <c r="C13" i="14"/>
  <c r="F16" i="10"/>
  <c r="G32" i="4" s="1"/>
  <c r="D11" i="7"/>
  <c r="D18" i="10"/>
  <c r="D19" i="10" s="1"/>
  <c r="D20" i="10" s="1"/>
  <c r="E10" i="13"/>
  <c r="F15" i="10"/>
  <c r="F32" i="4" s="1"/>
  <c r="C23" i="4"/>
  <c r="B4" i="20"/>
  <c r="B5" i="20" s="1"/>
  <c r="B6" i="20" s="1"/>
  <c r="C8" i="18"/>
  <c r="F16" i="4"/>
  <c r="E19" i="4"/>
  <c r="E21" i="4" s="1"/>
  <c r="H8" i="4"/>
  <c r="H10" i="4" s="1"/>
  <c r="H13" i="4" s="1"/>
  <c r="F5" i="18"/>
  <c r="I29" i="7"/>
  <c r="J6" i="18"/>
  <c r="H7" i="18"/>
  <c r="H3" i="15"/>
  <c r="G10" i="7"/>
  <c r="F10" i="13"/>
  <c r="C18" i="10"/>
  <c r="E17" i="10"/>
  <c r="H32" i="4" s="1"/>
  <c r="E46" i="7" l="1"/>
  <c r="D15" i="18"/>
  <c r="D22" i="14"/>
  <c r="D23" i="14" s="1"/>
  <c r="D24" i="14" s="1"/>
  <c r="D25" i="14" s="1"/>
  <c r="F46" i="7"/>
  <c r="E15" i="18"/>
  <c r="J18" i="4"/>
  <c r="I26" i="19"/>
  <c r="I27" i="19" s="1"/>
  <c r="J12" i="4" s="1"/>
  <c r="F17" i="10"/>
  <c r="C28" i="4"/>
  <c r="C30" i="4" s="1"/>
  <c r="C33" i="4" s="1"/>
  <c r="B7" i="20" s="1"/>
  <c r="D39" i="7"/>
  <c r="E9" i="7"/>
  <c r="E11" i="7" s="1"/>
  <c r="E13" i="14"/>
  <c r="C14" i="14"/>
  <c r="C22" i="7"/>
  <c r="C48" i="7"/>
  <c r="D23" i="4"/>
  <c r="D48" i="7" s="1"/>
  <c r="C4" i="20"/>
  <c r="C5" i="20" s="1"/>
  <c r="C6" i="20" s="1"/>
  <c r="G16" i="4"/>
  <c r="F19" i="4"/>
  <c r="F21" i="4" s="1"/>
  <c r="D8" i="18"/>
  <c r="I8" i="4"/>
  <c r="I10" i="4" s="1"/>
  <c r="I13" i="4" s="1"/>
  <c r="G5" i="18"/>
  <c r="K29" i="7"/>
  <c r="J29" i="7"/>
  <c r="I7" i="18"/>
  <c r="I3" i="15"/>
  <c r="D29" i="11"/>
  <c r="H10" i="7"/>
  <c r="G10" i="13"/>
  <c r="C19" i="10"/>
  <c r="J32" i="4" s="1"/>
  <c r="E18" i="10"/>
  <c r="E19" i="10" s="1"/>
  <c r="D26" i="14" l="1"/>
  <c r="D27" i="14" s="1"/>
  <c r="D28" i="14" s="1"/>
  <c r="D29" i="14" s="1"/>
  <c r="D30" i="14" s="1"/>
  <c r="D31" i="14" s="1"/>
  <c r="D32" i="14" s="1"/>
  <c r="I32" i="4"/>
  <c r="J24" i="19"/>
  <c r="B9" i="18"/>
  <c r="B10" i="18" s="1"/>
  <c r="F18" i="10"/>
  <c r="C45" i="7"/>
  <c r="C47" i="7" s="1"/>
  <c r="C49" i="7" s="1"/>
  <c r="E14" i="14"/>
  <c r="C15" i="14"/>
  <c r="C20" i="10"/>
  <c r="F19" i="10"/>
  <c r="E39" i="7"/>
  <c r="F9" i="7"/>
  <c r="F11" i="7" s="1"/>
  <c r="C40" i="7"/>
  <c r="C41" i="7" s="1"/>
  <c r="C33" i="7"/>
  <c r="B7" i="13"/>
  <c r="B9" i="13" s="1"/>
  <c r="B11" i="13" s="1"/>
  <c r="B13" i="13" s="1"/>
  <c r="B14" i="13" s="1"/>
  <c r="C34" i="4" s="1"/>
  <c r="B11" i="18" s="1"/>
  <c r="E23" i="4"/>
  <c r="E48" i="7" s="1"/>
  <c r="D4" i="20"/>
  <c r="D5" i="20" s="1"/>
  <c r="D6" i="20" s="1"/>
  <c r="F11" i="11"/>
  <c r="F12" i="11" s="1"/>
  <c r="H16" i="4"/>
  <c r="G19" i="4"/>
  <c r="G21" i="4" s="1"/>
  <c r="E8" i="18"/>
  <c r="J8" i="4"/>
  <c r="J10" i="4" s="1"/>
  <c r="K8" i="4"/>
  <c r="K10" i="4" s="1"/>
  <c r="H5" i="18"/>
  <c r="J7" i="18"/>
  <c r="I10" i="7"/>
  <c r="H10" i="13"/>
  <c r="I10" i="13"/>
  <c r="J10" i="7"/>
  <c r="E20" i="10"/>
  <c r="D33" i="14" l="1"/>
  <c r="D34" i="14" s="1"/>
  <c r="H46" i="7"/>
  <c r="F20" i="10"/>
  <c r="K32" i="4"/>
  <c r="G46" i="7"/>
  <c r="F15" i="18"/>
  <c r="J13" i="4"/>
  <c r="J7" i="19"/>
  <c r="J12" i="7"/>
  <c r="K11" i="4"/>
  <c r="B12" i="18"/>
  <c r="J10" i="13"/>
  <c r="F18" i="11"/>
  <c r="F19" i="11" s="1"/>
  <c r="D30" i="11" s="1"/>
  <c r="D31" i="11" s="1"/>
  <c r="D32" i="11" s="1"/>
  <c r="F39" i="7"/>
  <c r="G9" i="7"/>
  <c r="G11" i="7" s="1"/>
  <c r="E15" i="14"/>
  <c r="C16" i="14"/>
  <c r="C35" i="4"/>
  <c r="B13" i="18" s="1"/>
  <c r="B22" i="18" s="1"/>
  <c r="B23" i="18" s="1"/>
  <c r="B26" i="18" s="1"/>
  <c r="F23" i="4"/>
  <c r="F48" i="7" s="1"/>
  <c r="E4" i="20"/>
  <c r="E5" i="20" s="1"/>
  <c r="E6" i="20" s="1"/>
  <c r="F8" i="18"/>
  <c r="F4" i="20"/>
  <c r="F5" i="20" s="1"/>
  <c r="F6" i="20" s="1"/>
  <c r="I16" i="4"/>
  <c r="H19" i="4"/>
  <c r="H21" i="4" s="1"/>
  <c r="I5" i="18"/>
  <c r="J5" i="18"/>
  <c r="K10" i="7"/>
  <c r="G15" i="18" l="1"/>
  <c r="K18" i="4"/>
  <c r="J26" i="19"/>
  <c r="J27" i="19" s="1"/>
  <c r="K12" i="4" s="1"/>
  <c r="E16" i="14"/>
  <c r="C17" i="14"/>
  <c r="G39" i="7"/>
  <c r="H9" i="7"/>
  <c r="H11" i="7" s="1"/>
  <c r="B25" i="18"/>
  <c r="B14" i="18"/>
  <c r="B16" i="18" s="1"/>
  <c r="C14" i="7" s="1"/>
  <c r="C37" i="4"/>
  <c r="C19" i="7" s="1"/>
  <c r="C21" i="7" s="1"/>
  <c r="D18" i="7" s="1"/>
  <c r="B8" i="20"/>
  <c r="G8" i="18"/>
  <c r="G4" i="20"/>
  <c r="G5" i="20" s="1"/>
  <c r="G6" i="20" s="1"/>
  <c r="J16" i="4"/>
  <c r="I19" i="4"/>
  <c r="I21" i="4" s="1"/>
  <c r="D35" i="14"/>
  <c r="G23" i="4"/>
  <c r="G48" i="7" s="1"/>
  <c r="D28" i="4" l="1"/>
  <c r="D26" i="4"/>
  <c r="K13" i="4"/>
  <c r="D30" i="4"/>
  <c r="C9" i="18"/>
  <c r="D45" i="7"/>
  <c r="D47" i="7" s="1"/>
  <c r="D49" i="7" s="1"/>
  <c r="F50" i="7" s="1"/>
  <c r="H39" i="7"/>
  <c r="I9" i="7"/>
  <c r="I11" i="7" s="1"/>
  <c r="E17" i="14"/>
  <c r="C18" i="14"/>
  <c r="D22" i="7"/>
  <c r="C4" i="18"/>
  <c r="C34" i="7"/>
  <c r="C35" i="7" s="1"/>
  <c r="C25" i="7"/>
  <c r="K16" i="4"/>
  <c r="K19" i="4" s="1"/>
  <c r="K21" i="4" s="1"/>
  <c r="J19" i="4"/>
  <c r="J21" i="4" s="1"/>
  <c r="H8" i="18"/>
  <c r="H4" i="20"/>
  <c r="H5" i="20" s="1"/>
  <c r="H6" i="20" s="1"/>
  <c r="D36" i="14"/>
  <c r="H15" i="18" s="1"/>
  <c r="C15" i="7"/>
  <c r="C28" i="7"/>
  <c r="C30" i="7" s="1"/>
  <c r="K12" i="7" l="1"/>
  <c r="C10" i="18"/>
  <c r="I46" i="7"/>
  <c r="D40" i="7"/>
  <c r="D41" i="7" s="1"/>
  <c r="D33" i="7"/>
  <c r="E18" i="14"/>
  <c r="C19" i="14"/>
  <c r="J9" i="7"/>
  <c r="J11" i="7" s="1"/>
  <c r="I39" i="7"/>
  <c r="I41" i="7" s="1"/>
  <c r="D33" i="4"/>
  <c r="C7" i="13"/>
  <c r="C9" i="13" s="1"/>
  <c r="C11" i="13" s="1"/>
  <c r="C13" i="13" s="1"/>
  <c r="C14" i="13" s="1"/>
  <c r="D34" i="4" s="1"/>
  <c r="C11" i="18" s="1"/>
  <c r="C20" i="18"/>
  <c r="C21" i="18" s="1"/>
  <c r="I8" i="18"/>
  <c r="I4" i="20"/>
  <c r="I5" i="20" s="1"/>
  <c r="I6" i="20" s="1"/>
  <c r="J8" i="18"/>
  <c r="J4" i="20"/>
  <c r="J5" i="20" s="1"/>
  <c r="J6" i="20" s="1"/>
  <c r="H23" i="4"/>
  <c r="H48" i="7" s="1"/>
  <c r="C12" i="18" l="1"/>
  <c r="E19" i="14"/>
  <c r="C20" i="14"/>
  <c r="K9" i="7"/>
  <c r="K11" i="7" s="1"/>
  <c r="K39" i="7" s="1"/>
  <c r="K41" i="7" s="1"/>
  <c r="J39" i="7"/>
  <c r="J41" i="7" s="1"/>
  <c r="C7" i="20"/>
  <c r="D35" i="4"/>
  <c r="C8" i="20" l="1"/>
  <c r="D36" i="4"/>
  <c r="C13" i="18" s="1"/>
  <c r="E20" i="14"/>
  <c r="C21" i="14"/>
  <c r="I23" i="4"/>
  <c r="I48" i="7" s="1"/>
  <c r="E26" i="4" l="1"/>
  <c r="E28" i="4" s="1"/>
  <c r="D37" i="4"/>
  <c r="D19" i="7" s="1"/>
  <c r="D21" i="7" s="1"/>
  <c r="E18" i="7" s="1"/>
  <c r="C22" i="18"/>
  <c r="C14" i="18"/>
  <c r="C16" i="18" s="1"/>
  <c r="E21" i="14"/>
  <c r="E22" i="7"/>
  <c r="C22" i="14"/>
  <c r="E45" i="7" l="1"/>
  <c r="E47" i="7" s="1"/>
  <c r="E49" i="7" s="1"/>
  <c r="D9" i="18"/>
  <c r="E30" i="4"/>
  <c r="D25" i="7"/>
  <c r="D34" i="7"/>
  <c r="D35" i="7" s="1"/>
  <c r="C23" i="18"/>
  <c r="C26" i="18" s="1"/>
  <c r="C25" i="18"/>
  <c r="E40" i="7"/>
  <c r="E41" i="7" s="1"/>
  <c r="E33" i="7"/>
  <c r="E22" i="14"/>
  <c r="C23" i="14"/>
  <c r="D14" i="7"/>
  <c r="D4" i="18"/>
  <c r="E33" i="4"/>
  <c r="D7" i="13"/>
  <c r="D9" i="13" s="1"/>
  <c r="D11" i="13" s="1"/>
  <c r="D13" i="13" s="1"/>
  <c r="D14" i="13" s="1"/>
  <c r="E34" i="4" s="1"/>
  <c r="D11" i="18" s="1"/>
  <c r="D28" i="7" l="1"/>
  <c r="D30" i="7" s="1"/>
  <c r="D15" i="7"/>
  <c r="E23" i="14"/>
  <c r="C24" i="14"/>
  <c r="D20" i="18"/>
  <c r="D21" i="18" s="1"/>
  <c r="D10" i="18"/>
  <c r="D12" i="18" s="1"/>
  <c r="D7" i="20"/>
  <c r="E35" i="4"/>
  <c r="J23" i="4"/>
  <c r="J3" i="15"/>
  <c r="K3" i="15"/>
  <c r="E36" i="4" l="1"/>
  <c r="D13" i="18" s="1"/>
  <c r="D22" i="18" s="1"/>
  <c r="D23" i="18" s="1"/>
  <c r="D26" i="18" s="1"/>
  <c r="D8" i="20"/>
  <c r="E24" i="14"/>
  <c r="C25" i="14"/>
  <c r="J30" i="4"/>
  <c r="J33" i="4" s="1"/>
  <c r="I7" i="20" s="1"/>
  <c r="J48" i="7"/>
  <c r="J49" i="7" s="1"/>
  <c r="K23" i="4"/>
  <c r="F26" i="4" l="1"/>
  <c r="F28" i="4" s="1"/>
  <c r="E37" i="4"/>
  <c r="E19" i="7" s="1"/>
  <c r="E21" i="7" s="1"/>
  <c r="E34" i="7" s="1"/>
  <c r="E35" i="7" s="1"/>
  <c r="D25" i="18"/>
  <c r="E25" i="14"/>
  <c r="F22" i="7"/>
  <c r="C26" i="14"/>
  <c r="D14" i="18"/>
  <c r="D16" i="18" s="1"/>
  <c r="I7" i="13"/>
  <c r="I9" i="13" s="1"/>
  <c r="I11" i="13" s="1"/>
  <c r="I13" i="13" s="1"/>
  <c r="I14" i="13" s="1"/>
  <c r="J34" i="4" s="1"/>
  <c r="I11" i="18" s="1"/>
  <c r="K30" i="4"/>
  <c r="K33" i="4" s="1"/>
  <c r="J7" i="20" s="1"/>
  <c r="K48" i="7"/>
  <c r="K49" i="7" s="1"/>
  <c r="F30" i="4" l="1"/>
  <c r="E9" i="18"/>
  <c r="F45" i="7"/>
  <c r="F47" i="7" s="1"/>
  <c r="F49" i="7" s="1"/>
  <c r="E25" i="7"/>
  <c r="F18" i="7"/>
  <c r="E26" i="14"/>
  <c r="C27" i="14"/>
  <c r="F40" i="7"/>
  <c r="F41" i="7" s="1"/>
  <c r="F33" i="7"/>
  <c r="E4" i="18"/>
  <c r="E14" i="7"/>
  <c r="F33" i="4"/>
  <c r="E7" i="13"/>
  <c r="E9" i="13" s="1"/>
  <c r="E11" i="13" s="1"/>
  <c r="E13" i="13" s="1"/>
  <c r="E14" i="13" s="1"/>
  <c r="F34" i="4" s="1"/>
  <c r="E11" i="18" s="1"/>
  <c r="J35" i="4"/>
  <c r="J7" i="13"/>
  <c r="J9" i="13" s="1"/>
  <c r="J11" i="13" s="1"/>
  <c r="J13" i="13" s="1"/>
  <c r="J14" i="13" s="1"/>
  <c r="K34" i="4" s="1"/>
  <c r="E15" i="7" l="1"/>
  <c r="E28" i="7"/>
  <c r="E30" i="7" s="1"/>
  <c r="E7" i="20"/>
  <c r="F35" i="4"/>
  <c r="E20" i="18"/>
  <c r="E21" i="18" s="1"/>
  <c r="E10" i="18"/>
  <c r="E12" i="18" s="1"/>
  <c r="E27" i="14"/>
  <c r="C28" i="14"/>
  <c r="J36" i="4"/>
  <c r="J37" i="4" s="1"/>
  <c r="J19" i="7" s="1"/>
  <c r="I8" i="20"/>
  <c r="K35" i="4"/>
  <c r="J11" i="18"/>
  <c r="G26" i="4" l="1"/>
  <c r="E8" i="20"/>
  <c r="F36" i="4"/>
  <c r="E28" i="14"/>
  <c r="C29" i="14"/>
  <c r="G22" i="7"/>
  <c r="G28" i="4"/>
  <c r="K36" i="4"/>
  <c r="K37" i="4" s="1"/>
  <c r="K19" i="7" s="1"/>
  <c r="J8" i="20"/>
  <c r="I13" i="18"/>
  <c r="I22" i="18" s="1"/>
  <c r="I23" i="18" s="1"/>
  <c r="J13" i="18" l="1"/>
  <c r="J22" i="18" s="1"/>
  <c r="J23" i="18" s="1"/>
  <c r="G45" i="7"/>
  <c r="G47" i="7" s="1"/>
  <c r="G49" i="7" s="1"/>
  <c r="G30" i="4"/>
  <c r="F9" i="18"/>
  <c r="G40" i="7"/>
  <c r="G41" i="7" s="1"/>
  <c r="G33" i="7"/>
  <c r="E29" i="14"/>
  <c r="C30" i="14"/>
  <c r="E13" i="18"/>
  <c r="F37" i="4"/>
  <c r="F19" i="7" s="1"/>
  <c r="F21" i="7" s="1"/>
  <c r="E22" i="18" l="1"/>
  <c r="E14" i="18"/>
  <c r="E16" i="18" s="1"/>
  <c r="G33" i="4"/>
  <c r="F7" i="13"/>
  <c r="F9" i="13" s="1"/>
  <c r="F11" i="13" s="1"/>
  <c r="F13" i="13" s="1"/>
  <c r="F14" i="13" s="1"/>
  <c r="G34" i="4" s="1"/>
  <c r="F11" i="18" s="1"/>
  <c r="E30" i="14"/>
  <c r="C31" i="14"/>
  <c r="F25" i="7"/>
  <c r="F34" i="7"/>
  <c r="F35" i="7" s="1"/>
  <c r="G18" i="7"/>
  <c r="F7" i="20" l="1"/>
  <c r="G35" i="4"/>
  <c r="E31" i="14"/>
  <c r="C32" i="14"/>
  <c r="F14" i="7"/>
  <c r="F4" i="18"/>
  <c r="E23" i="18"/>
  <c r="E26" i="18" s="1"/>
  <c r="E25" i="18"/>
  <c r="F28" i="7" l="1"/>
  <c r="F30" i="7" s="1"/>
  <c r="F15" i="7"/>
  <c r="E32" i="14"/>
  <c r="C33" i="14"/>
  <c r="H22" i="7"/>
  <c r="F8" i="20"/>
  <c r="G36" i="4"/>
  <c r="F20" i="18"/>
  <c r="F21" i="18" s="1"/>
  <c r="F10" i="18"/>
  <c r="F12" i="18" s="1"/>
  <c r="H26" i="4" l="1"/>
  <c r="H28" i="4" s="1"/>
  <c r="F13" i="18"/>
  <c r="F22" i="18" s="1"/>
  <c r="G37" i="4"/>
  <c r="G19" i="7" s="1"/>
  <c r="G21" i="7" s="1"/>
  <c r="H40" i="7"/>
  <c r="H41" i="7" s="1"/>
  <c r="F42" i="7" s="1"/>
  <c r="H33" i="7"/>
  <c r="E33" i="14"/>
  <c r="C34" i="14"/>
  <c r="H30" i="4" l="1"/>
  <c r="H45" i="7"/>
  <c r="H47" i="7" s="1"/>
  <c r="H49" i="7" s="1"/>
  <c r="G9" i="18"/>
  <c r="F14" i="18"/>
  <c r="F16" i="18" s="1"/>
  <c r="G4" i="18" s="1"/>
  <c r="F23" i="18"/>
  <c r="F26" i="18" s="1"/>
  <c r="F25" i="18"/>
  <c r="G25" i="7"/>
  <c r="G34" i="7"/>
  <c r="G35" i="7" s="1"/>
  <c r="H18" i="7"/>
  <c r="E34" i="14"/>
  <c r="C35" i="14"/>
  <c r="H33" i="4"/>
  <c r="G7" i="13"/>
  <c r="G9" i="13" s="1"/>
  <c r="G11" i="13" s="1"/>
  <c r="G13" i="13" s="1"/>
  <c r="G14" i="13" s="1"/>
  <c r="H34" i="4" s="1"/>
  <c r="G11" i="18" s="1"/>
  <c r="G14" i="7" l="1"/>
  <c r="G28" i="7" s="1"/>
  <c r="G30" i="7" s="1"/>
  <c r="G20" i="18"/>
  <c r="G21" i="18" s="1"/>
  <c r="G10" i="18"/>
  <c r="G12" i="18" s="1"/>
  <c r="G7" i="20"/>
  <c r="H35" i="4"/>
  <c r="E35" i="14"/>
  <c r="I26" i="4" s="1"/>
  <c r="C36" i="14"/>
  <c r="E36" i="14" s="1"/>
  <c r="G15" i="7" l="1"/>
  <c r="I28" i="4"/>
  <c r="I30" i="4" s="1"/>
  <c r="I33" i="4" s="1"/>
  <c r="H7" i="20" s="1"/>
  <c r="G8" i="20"/>
  <c r="H36" i="4"/>
  <c r="G13" i="18" s="1"/>
  <c r="G22" i="18" s="1"/>
  <c r="G25" i="18" s="1"/>
  <c r="H9" i="18" l="1"/>
  <c r="I45" i="7"/>
  <c r="I47" i="7" s="1"/>
  <c r="I49" i="7" s="1"/>
  <c r="H7" i="13"/>
  <c r="H9" i="13" s="1"/>
  <c r="H11" i="13" s="1"/>
  <c r="H13" i="13" s="1"/>
  <c r="H14" i="13" s="1"/>
  <c r="I34" i="4" s="1"/>
  <c r="H11" i="18" s="1"/>
  <c r="G23" i="18"/>
  <c r="G26" i="18" s="1"/>
  <c r="H37" i="4"/>
  <c r="H19" i="7" s="1"/>
  <c r="H21" i="7" s="1"/>
  <c r="H34" i="7" s="1"/>
  <c r="H35" i="7" s="1"/>
  <c r="G14" i="18"/>
  <c r="G16" i="18" s="1"/>
  <c r="I35" i="4" l="1"/>
  <c r="H8" i="20" s="1"/>
  <c r="I18" i="7"/>
  <c r="H25" i="7"/>
  <c r="H14" i="7"/>
  <c r="H4" i="18"/>
  <c r="I36" i="4" l="1"/>
  <c r="H13" i="18" s="1"/>
  <c r="H22" i="18" s="1"/>
  <c r="H15" i="7"/>
  <c r="H28" i="7"/>
  <c r="H30" i="7" s="1"/>
  <c r="H20" i="18"/>
  <c r="H21" i="18" s="1"/>
  <c r="H10" i="18"/>
  <c r="H12" i="18" s="1"/>
  <c r="I37" i="4" l="1"/>
  <c r="I19" i="7" s="1"/>
  <c r="I21" i="7" s="1"/>
  <c r="I25" i="7" s="1"/>
  <c r="H14" i="18"/>
  <c r="H16" i="18" s="1"/>
  <c r="I4" i="18" s="1"/>
  <c r="I10" i="18" s="1"/>
  <c r="I12" i="18" s="1"/>
  <c r="I14" i="18" s="1"/>
  <c r="I16" i="18" s="1"/>
  <c r="J4" i="18" s="1"/>
  <c r="H23" i="18"/>
  <c r="H26" i="18" s="1"/>
  <c r="H25" i="18"/>
  <c r="J18" i="7" l="1"/>
  <c r="J21" i="7" s="1"/>
  <c r="K18" i="7" s="1"/>
  <c r="K21" i="7" s="1"/>
  <c r="K25" i="7" s="1"/>
  <c r="I34" i="7"/>
  <c r="I35" i="7" s="1"/>
  <c r="I20" i="18"/>
  <c r="I21" i="18" s="1"/>
  <c r="I26" i="18" s="1"/>
  <c r="I14" i="7"/>
  <c r="I28" i="7" s="1"/>
  <c r="I30" i="7" s="1"/>
  <c r="J14" i="7"/>
  <c r="J15" i="7" s="1"/>
  <c r="J10" i="18"/>
  <c r="J12" i="18" s="1"/>
  <c r="J14" i="18" s="1"/>
  <c r="J16" i="18" s="1"/>
  <c r="K14" i="7" s="1"/>
  <c r="K15" i="7" s="1"/>
  <c r="J20" i="18"/>
  <c r="K34" i="7" l="1"/>
  <c r="K35" i="7" s="1"/>
  <c r="J34" i="7"/>
  <c r="J35" i="7" s="1"/>
  <c r="J25" i="7"/>
  <c r="I25" i="18"/>
  <c r="I15" i="7"/>
  <c r="J28" i="7"/>
  <c r="J30" i="7" s="1"/>
  <c r="K28" i="7"/>
  <c r="K30" i="7" s="1"/>
  <c r="J25" i="18"/>
  <c r="J21" i="18"/>
  <c r="J26" i="18" s="1"/>
  <c r="K26" i="18" s="1"/>
  <c r="F36" i="7" l="1"/>
  <c r="F31" i="7"/>
</calcChain>
</file>

<file path=xl/sharedStrings.xml><?xml version="1.0" encoding="utf-8"?>
<sst xmlns="http://schemas.openxmlformats.org/spreadsheetml/2006/main" count="421" uniqueCount="302">
  <si>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</si>
  <si>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</si>
  <si>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</si>
  <si>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</si>
  <si>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</si>
  <si>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</si>
  <si>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</si>
  <si>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</si>
  <si>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</si>
  <si>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</si>
  <si>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</si>
  <si>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</si>
  <si>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</si>
  <si>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</si>
  <si>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</si>
  <si>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</si>
  <si>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</si>
  <si>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</si>
  <si>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</si>
  <si>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</si>
  <si>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</si>
  <si>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</si>
  <si>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</si>
  <si>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</si>
  <si>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</si>
  <si>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</si>
  <si>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</si>
  <si>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</si>
  <si>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</si>
  <si>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</si>
  <si>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</si>
  <si>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</si>
  <si>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</si>
  <si>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Area/ capacity</t>
  </si>
  <si>
    <t>Units</t>
  </si>
  <si>
    <t>Amt</t>
  </si>
  <si>
    <t>Total (Civil work)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</si>
  <si>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</si>
  <si>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</si>
  <si>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</si>
  <si>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</si>
  <si>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</si>
  <si>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</si>
  <si>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</si>
  <si>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</si>
  <si>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</si>
  <si>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</si>
  <si>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</si>
  <si>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</si>
  <si>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</si>
  <si>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</si>
  <si>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</si>
  <si>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</si>
  <si>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</si>
  <si>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</si>
  <si>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</si>
  <si>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</si>
  <si>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</si>
  <si>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</si>
  <si>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</si>
  <si>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</si>
  <si>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</si>
  <si>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</si>
  <si>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</si>
  <si>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</si>
  <si>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</si>
  <si>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</si>
  <si>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</si>
  <si>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</si>
  <si>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</si>
  <si>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</si>
  <si>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</si>
  <si>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</si>
  <si>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</si>
  <si>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</si>
  <si>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</si>
  <si>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</si>
  <si>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</si>
  <si>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</si>
  <si>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</si>
  <si>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</si>
  <si>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</si>
  <si>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</si>
  <si>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</si>
  <si>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</si>
  <si>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</si>
  <si>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</si>
  <si>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</si>
  <si>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</si>
  <si>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</si>
  <si>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</si>
  <si>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</si>
  <si>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Running and maintenance cost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</si>
  <si>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</si>
  <si>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</si>
  <si>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</si>
  <si>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</si>
  <si>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</si>
  <si>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</si>
  <si>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</si>
  <si>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</si>
  <si>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</si>
  <si>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</si>
  <si>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</si>
  <si>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</si>
  <si>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</si>
  <si>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</si>
  <si>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</si>
  <si>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</si>
  <si>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</si>
  <si>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</si>
  <si>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</si>
  <si>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</si>
  <si>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</si>
  <si>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</si>
  <si>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</si>
  <si>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</si>
  <si>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</si>
  <si>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</si>
  <si>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</si>
  <si>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</si>
  <si>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</si>
  <si>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</si>
  <si>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</si>
  <si>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</si>
  <si>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</si>
  <si>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</si>
  <si>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</si>
  <si>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</si>
  <si>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</si>
  <si>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</si>
  <si>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</si>
  <si>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</si>
  <si>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</si>
  <si>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</si>
  <si>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</si>
  <si>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</si>
  <si>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</si>
  <si>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</si>
  <si>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</si>
  <si>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</si>
  <si>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</si>
  <si>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</si>
  <si>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</si>
  <si>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</si>
  <si>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</si>
  <si>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</si>
  <si>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</si>
  <si>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</si>
  <si>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</si>
  <si>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</si>
  <si>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</si>
  <si>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</si>
  <si>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</si>
  <si>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</si>
  <si>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</si>
  <si>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</si>
  <si>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</si>
  <si>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</si>
  <si>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</si>
  <si>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</si>
  <si>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</si>
  <si>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</si>
  <si>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</si>
  <si>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</si>
  <si>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</si>
  <si>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</si>
  <si>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</si>
  <si>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</si>
  <si>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</si>
  <si>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</si>
  <si>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Stationery expense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</si>
  <si>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</si>
  <si>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</si>
  <si>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</si>
  <si>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</si>
  <si>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</si>
  <si>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</si>
  <si>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</si>
  <si>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Add: benefits @ 20%</t>
  </si>
  <si>
    <t>Working capital</t>
  </si>
  <si>
    <t>Interest on WC Loan</t>
  </si>
  <si>
    <t>E mandi expense</t>
  </si>
  <si>
    <t>Site Development</t>
  </si>
  <si>
    <t>Shed for Ripening centre</t>
  </si>
  <si>
    <t>Ripening chanmbers</t>
  </si>
  <si>
    <t>Crates and othe material</t>
  </si>
  <si>
    <t>20 kg capacity</t>
  </si>
  <si>
    <t>Preliminary expenses for 0.75 lakhs are also to be incurred</t>
  </si>
  <si>
    <t>Sales Budget</t>
  </si>
  <si>
    <t>Production capacity utilization</t>
  </si>
  <si>
    <t>Sales qty</t>
  </si>
  <si>
    <t>Production budget</t>
  </si>
  <si>
    <t>Production capacity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</si>
  <si>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</si>
  <si>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</si>
  <si>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</si>
  <si>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</si>
  <si>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</si>
  <si>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</si>
  <si>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</si>
  <si>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</si>
  <si>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</si>
  <si>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</si>
  <si>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</si>
  <si>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</si>
  <si>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1. Sales price per kg of output is 12.5, expected to increase 5% per annum</t>
  </si>
  <si>
    <t>Production qty</t>
  </si>
  <si>
    <t>2. assumed that 95% of production is sold</t>
  </si>
  <si>
    <t>Purchase of raw material input</t>
  </si>
  <si>
    <t>1. assumed that 10% of the output is normal loss in production processs</t>
  </si>
  <si>
    <t>Electricity expense</t>
  </si>
  <si>
    <t>Usage in units</t>
  </si>
  <si>
    <t>2. interest on working capital is assumed to be 10% p.a.</t>
  </si>
  <si>
    <t>4. Electricity usage in units is given below</t>
  </si>
  <si>
    <t>5. Stationery expense is fixed at Rs. 2,00,000 with annual increase of 2%</t>
  </si>
  <si>
    <t>Cost of Production</t>
  </si>
  <si>
    <t>Add: Opening stock</t>
  </si>
  <si>
    <t>Less: Closing stock</t>
  </si>
  <si>
    <t>6. Closing stock is valued at Rs. 10 per kg</t>
  </si>
  <si>
    <t>- Procurement cost of inputs</t>
  </si>
  <si>
    <t>Sub Total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</si>
  <si>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</si>
  <si>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</si>
  <si>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</si>
  <si>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</si>
  <si>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</si>
  <si>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</si>
  <si>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</si>
  <si>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</si>
  <si>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</si>
  <si>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</si>
  <si>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</si>
  <si>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</si>
  <si>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Rs. per kg</t>
  </si>
  <si>
    <t>Procurement cost</t>
  </si>
  <si>
    <t>BEP in kg</t>
  </si>
  <si>
    <t>BEP %</t>
  </si>
  <si>
    <t>Selling cost</t>
  </si>
  <si>
    <t>3. Electricity are semi-fixed cost. Rs. 1,00,000 pa is fixed, balance is variable at Rs. 12 per unit usage</t>
  </si>
  <si>
    <t>Stationery</t>
  </si>
  <si>
    <t>TL interest cost</t>
  </si>
  <si>
    <t>Turnover</t>
  </si>
  <si>
    <t>Cost Of operations</t>
  </si>
  <si>
    <t>Gross profit</t>
  </si>
  <si>
    <t>EBITDA</t>
  </si>
  <si>
    <t>Profit before tax</t>
  </si>
  <si>
    <t>Profit after tax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</si>
  <si>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</si>
  <si>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</si>
  <si>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</si>
  <si>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</si>
  <si>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</si>
  <si>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</si>
  <si>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</si>
  <si>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</si>
  <si>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1. asssumed that 30 days of purchases are average creditors maintained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</si>
  <si>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</si>
  <si>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</si>
  <si>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</si>
  <si>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</si>
  <si>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</si>
  <si>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</si>
  <si>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</si>
  <si>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</si>
  <si>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</si>
  <si>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</si>
  <si>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</si>
  <si>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</si>
  <si>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</si>
  <si>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</si>
  <si>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</si>
  <si>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</si>
  <si>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Cash flows'!A1</t>
  </si>
  <si>
    <t>Budgets!A1</t>
  </si>
  <si>
    <t>S. no.</t>
  </si>
  <si>
    <t>Assumptions</t>
  </si>
  <si>
    <t>Assumed that 10% of the output is normal loss in production processs</t>
  </si>
  <si>
    <t>Interest on working capital is assumed to be 10% p.a.</t>
  </si>
  <si>
    <t>Electricity are semi-fixed cost. Rs. 1,00,000 pa is fixed, balance is variable at Rs. 12 per unit usage</t>
  </si>
  <si>
    <t>Electricity usage in units is given below</t>
  </si>
  <si>
    <t>Stationery expense is fixed at Rs. 2,00,000 with annual increase of 2%</t>
  </si>
  <si>
    <t>Closing stock is valued at Rs. 10 per kg</t>
  </si>
  <si>
    <t>Asssumed that 30 days of purchases are average creditors maintained</t>
  </si>
  <si>
    <t>Assumed that 30 days of sales are average debtors maintained by the business</t>
  </si>
  <si>
    <t>Annually cost</t>
  </si>
  <si>
    <t>Particulrs</t>
  </si>
  <si>
    <t>Ethylene generater</t>
  </si>
  <si>
    <t>20 Ton capacity</t>
  </si>
  <si>
    <t>Fabricated panel including sliding doors</t>
  </si>
  <si>
    <t>Air Conditioning facility</t>
  </si>
  <si>
    <t>Electrification charges</t>
  </si>
  <si>
    <t>Construction cost</t>
  </si>
  <si>
    <t>Miscelleneous equipments</t>
  </si>
  <si>
    <t>Selling expenses @ Rs. 0.5 per kg</t>
  </si>
  <si>
    <t>per 4 days</t>
  </si>
  <si>
    <t>days</t>
  </si>
  <si>
    <t>Operational days in a year</t>
  </si>
  <si>
    <t>Running and Manintenance expense @2% of procurement cost</t>
  </si>
  <si>
    <t>Annexure 8 - Details of Manpower</t>
  </si>
  <si>
    <t>DPR</t>
  </si>
  <si>
    <t>Ripening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</si>
</sst>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_);_(* \(#,##0.000\);_(* &quot;-&quot;??_);_(@_)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sz val="11"/>
      <name val="Adobe Devanagari"/>
      <family val="1"/>
    </font>
    <font>
      <sz val="11"/>
      <color theme="0"/>
      <name val="Adobe Devanagari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2" fontId="0" fillId="0" borderId="0" xfId="0" applyNumberFormat="1"/>
    <xf numFmtId="167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3" quotePrefix="1" applyFont="1" applyBorder="1"/>
    <xf numFmtId="0" fontId="5" fillId="0" borderId="1" xfId="3" applyFont="1" applyBorder="1"/>
    <xf numFmtId="0" fontId="3" fillId="3" borderId="1" xfId="0" applyFont="1" applyFill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43" fontId="4" fillId="0" borderId="9" xfId="1" applyFont="1" applyBorder="1"/>
    <xf numFmtId="43" fontId="4" fillId="0" borderId="9" xfId="1" applyNumberFormat="1" applyFont="1" applyBorder="1"/>
    <xf numFmtId="43" fontId="4" fillId="0" borderId="9" xfId="0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Alignment="1">
      <alignment horizontal="left"/>
    </xf>
    <xf numFmtId="0" fontId="6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0" borderId="8" xfId="0" applyFont="1" applyBorder="1"/>
    <xf numFmtId="0" fontId="4" fillId="0" borderId="0" xfId="0" applyFont="1" applyBorder="1"/>
    <xf numFmtId="10" fontId="4" fillId="0" borderId="0" xfId="2" applyNumberFormat="1" applyFont="1"/>
    <xf numFmtId="2" fontId="4" fillId="0" borderId="0" xfId="0" applyNumberFormat="1" applyFont="1"/>
    <xf numFmtId="166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0" applyNumberFormat="1" applyFont="1" applyBorder="1"/>
    <xf numFmtId="0" fontId="4" fillId="3" borderId="2" xfId="0" applyFont="1" applyFill="1" applyBorder="1"/>
    <xf numFmtId="0" fontId="4" fillId="0" borderId="0" xfId="0" applyFont="1" applyBorder="1" applyAlignment="1">
      <alignment horizontal="left"/>
    </xf>
    <xf numFmtId="164" fontId="4" fillId="0" borderId="9" xfId="1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43" fontId="4" fillId="0" borderId="0" xfId="0" applyNumberFormat="1" applyFont="1"/>
    <xf numFmtId="164" fontId="4" fillId="0" borderId="0" xfId="0" applyNumberFormat="1" applyFont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164" fontId="4" fillId="0" borderId="1" xfId="1" applyNumberFormat="1" applyFont="1" applyBorder="1"/>
    <xf numFmtId="0" fontId="4" fillId="0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164" fontId="4" fillId="0" borderId="11" xfId="0" applyNumberFormat="1" applyFont="1" applyBorder="1"/>
    <xf numFmtId="43" fontId="4" fillId="0" borderId="11" xfId="0" applyNumberFormat="1" applyFont="1" applyBorder="1"/>
    <xf numFmtId="0" fontId="4" fillId="0" borderId="0" xfId="0" applyFont="1" applyFill="1" applyBorder="1"/>
    <xf numFmtId="164" fontId="4" fillId="0" borderId="11" xfId="1" applyNumberFormat="1" applyFont="1" applyBorder="1"/>
    <xf numFmtId="164" fontId="4" fillId="0" borderId="9" xfId="0" applyNumberFormat="1" applyFont="1" applyBorder="1"/>
    <xf numFmtId="0" fontId="3" fillId="0" borderId="0" xfId="0" applyFont="1" applyBorder="1"/>
    <xf numFmtId="164" fontId="4" fillId="0" borderId="8" xfId="0" applyNumberFormat="1" applyFont="1" applyFill="1" applyBorder="1"/>
    <xf numFmtId="0" fontId="4" fillId="3" borderId="8" xfId="0" applyFont="1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4" fillId="3" borderId="9" xfId="0" applyFont="1" applyFill="1" applyBorder="1"/>
    <xf numFmtId="164" fontId="4" fillId="3" borderId="9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6" xfId="0" applyFont="1" applyBorder="1"/>
    <xf numFmtId="0" fontId="4" fillId="0" borderId="19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0" xfId="0" applyNumberFormat="1" applyFont="1" applyBorder="1"/>
    <xf numFmtId="164" fontId="4" fillId="0" borderId="4" xfId="0" applyNumberFormat="1" applyFont="1" applyBorder="1"/>
    <xf numFmtId="9" fontId="4" fillId="0" borderId="0" xfId="0" applyNumberFormat="1" applyFont="1"/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/>
    <xf numFmtId="9" fontId="4" fillId="3" borderId="1" xfId="0" applyNumberFormat="1" applyFont="1" applyFill="1" applyBorder="1"/>
    <xf numFmtId="43" fontId="4" fillId="0" borderId="1" xfId="1" applyFont="1" applyBorder="1"/>
    <xf numFmtId="164" fontId="4" fillId="0" borderId="0" xfId="1" applyNumberFormat="1" applyFont="1"/>
    <xf numFmtId="0" fontId="4" fillId="0" borderId="0" xfId="0" quotePrefix="1" applyFont="1"/>
    <xf numFmtId="10" fontId="4" fillId="2" borderId="0" xfId="0" applyNumberFormat="1" applyFont="1" applyFill="1"/>
    <xf numFmtId="0" fontId="4" fillId="2" borderId="0" xfId="0" applyFont="1" applyFill="1" applyAlignment="1">
      <alignment horizontal="right"/>
    </xf>
    <xf numFmtId="2" fontId="4" fillId="0" borderId="1" xfId="0" applyNumberFormat="1" applyFont="1" applyBorder="1"/>
    <xf numFmtId="0" fontId="7" fillId="0" borderId="0" xfId="0" applyFont="1"/>
    <xf numFmtId="9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/>
    <xf numFmtId="10" fontId="8" fillId="0" borderId="0" xfId="2" applyNumberFormat="1" applyFont="1"/>
    <xf numFmtId="164" fontId="8" fillId="0" borderId="0" xfId="1" applyNumberFormat="1" applyFont="1"/>
    <xf numFmtId="0" fontId="4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Sir-%20Nabcons/3.%20Banana%20Ripening%20centre/Banana%20ripening%20centre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8"/>
      <sheetName val="Ann 9"/>
      <sheetName val="Ann 10"/>
      <sheetName val="Ann 11"/>
      <sheetName val="Ann 12"/>
      <sheetName val="Ann 13"/>
      <sheetName val="Cash flows"/>
      <sheetName val="Budgets"/>
      <sheetName val="Assumptions"/>
      <sheetName val="For word fi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Cash flow statement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FF76-E2FC-42AE-9F82-282C2D1007AD}">
  <dimension ref="A1:B20"/>
  <sheetViews>
    <sheetView tabSelected="1" workbookViewId="0"/>
  </sheetViews>
  <sheetFormatPr defaultRowHeight="17" x14ac:dyDescent="0.6"/>
  <cols>
    <col min="1" max="1" width="57.90625" style="4" bestFit="1" customWidth="1"/>
    <col min="2" max="2" width="14.453125" style="4" bestFit="1" customWidth="1"/>
    <col min="3" max="16384" width="8.7265625" style="4"/>
  </cols>
  <sheetData>
    <row r="1" spans="1:2" x14ac:dyDescent="0.6">
      <c r="A1" s="3" t="s">
        <v>301</v>
      </c>
    </row>
    <row r="3" spans="1:2" x14ac:dyDescent="0.6">
      <c r="A3" s="3" t="s">
        <v>257</v>
      </c>
    </row>
    <row r="5" spans="1:2" x14ac:dyDescent="0.6">
      <c r="A5" s="8" t="s">
        <v>258</v>
      </c>
      <c r="B5" s="8" t="s">
        <v>259</v>
      </c>
    </row>
    <row r="6" spans="1:2" x14ac:dyDescent="0.6">
      <c r="A6" s="5" t="str">
        <f>'[1]Ann 1'!A3</f>
        <v>Annexure 1 - Estimated cost of the project</v>
      </c>
      <c r="B6" s="6" t="s">
        <v>260</v>
      </c>
    </row>
    <row r="7" spans="1:2" x14ac:dyDescent="0.6">
      <c r="A7" s="5" t="str">
        <f>'[1]Ann 2'!A1</f>
        <v>Annexure 2 - Means of Finance</v>
      </c>
      <c r="B7" s="6" t="s">
        <v>261</v>
      </c>
    </row>
    <row r="8" spans="1:2" x14ac:dyDescent="0.6">
      <c r="A8" s="5" t="str">
        <f>'[1]Ann 3'!A1</f>
        <v>Annexure 3 - Complete Estimate of Civil and Plant and Machinery</v>
      </c>
      <c r="B8" s="6" t="s">
        <v>262</v>
      </c>
    </row>
    <row r="9" spans="1:2" x14ac:dyDescent="0.6">
      <c r="A9" s="5" t="str">
        <f>'[1]Ann 4'!A1</f>
        <v>Annexure 4 - Estimated Cost of Production</v>
      </c>
      <c r="B9" s="6" t="s">
        <v>263</v>
      </c>
    </row>
    <row r="10" spans="1:2" x14ac:dyDescent="0.6">
      <c r="A10" s="5" t="str">
        <f>'[1]Ann 5'!A1</f>
        <v>Annexure 5- Projected balance sheet</v>
      </c>
      <c r="B10" s="6" t="s">
        <v>264</v>
      </c>
    </row>
    <row r="11" spans="1:2" x14ac:dyDescent="0.6">
      <c r="A11" s="5" t="str">
        <f>'[1]Ann 6'!A1</f>
        <v>Annexure 6 - Requirement of Power and Fuel</v>
      </c>
      <c r="B11" s="6" t="s">
        <v>265</v>
      </c>
    </row>
    <row r="12" spans="1:2" x14ac:dyDescent="0.6">
      <c r="A12" s="5" t="str">
        <f>'[1]Ann 7'!A1</f>
        <v>Annexure 7 - Details of Mnpower (Technical)</v>
      </c>
      <c r="B12" s="6" t="s">
        <v>266</v>
      </c>
    </row>
    <row r="13" spans="1:2" x14ac:dyDescent="0.6">
      <c r="A13" s="5" t="str">
        <f>'[1]Ann 8'!A1</f>
        <v>Annexure 8 - Details of Mnpower (Administrative)</v>
      </c>
      <c r="B13" s="6" t="s">
        <v>267</v>
      </c>
    </row>
    <row r="14" spans="1:2" x14ac:dyDescent="0.6">
      <c r="A14" s="5" t="str">
        <f>'[1]Ann 9'!A1</f>
        <v>Annexure 9 - Computation of Depreciation</v>
      </c>
      <c r="B14" s="6" t="s">
        <v>268</v>
      </c>
    </row>
    <row r="15" spans="1:2" x14ac:dyDescent="0.6">
      <c r="A15" s="5" t="str">
        <f>'[1]Ann 10'!A1</f>
        <v>Annexure 10 - Calculation of Income tax</v>
      </c>
      <c r="B15" s="6" t="s">
        <v>269</v>
      </c>
    </row>
    <row r="16" spans="1:2" x14ac:dyDescent="0.6">
      <c r="A16" s="5" t="str">
        <f>'[1]Ann 11'!A1</f>
        <v>Annexure 11- Break even analysis (At maximum capacity utilization)</v>
      </c>
      <c r="B16" s="6" t="s">
        <v>270</v>
      </c>
    </row>
    <row r="17" spans="1:2" x14ac:dyDescent="0.6">
      <c r="A17" s="5" t="str">
        <f>'[1]Ann 13'!A1</f>
        <v>Annexure 13 - Repayment schedule</v>
      </c>
      <c r="B17" s="6" t="s">
        <v>271</v>
      </c>
    </row>
    <row r="18" spans="1:2" x14ac:dyDescent="0.6">
      <c r="A18" s="5" t="str">
        <f>[1]Assumptions!B1</f>
        <v>Assumptions</v>
      </c>
      <c r="B18" s="7" t="s">
        <v>272</v>
      </c>
    </row>
    <row r="19" spans="1:2" x14ac:dyDescent="0.6">
      <c r="A19" s="5" t="str">
        <f>'[2]Cash flows'!A1</f>
        <v>Cash flow statement</v>
      </c>
      <c r="B19" s="6" t="s">
        <v>273</v>
      </c>
    </row>
    <row r="20" spans="1:2" x14ac:dyDescent="0.6">
      <c r="A20" s="5" t="str">
        <f>[1]Budgets!A1</f>
        <v>Sales Budget</v>
      </c>
      <c r="B20" s="7" t="s">
        <v>274</v>
      </c>
    </row>
  </sheetData>
  <hyperlinks>
    <hyperlink ref="B6" location="'Ann 1'!A1" display="'Ann 1'!A1" xr:uid="{4D1F96B3-FA58-4B38-8E0B-BE4B3CD05A7B}"/>
    <hyperlink ref="B7" location="'Ann 2'!A1" display="'Ann 2'!A1" xr:uid="{2D119F5B-E769-4D64-A8D9-11DF9C281239}"/>
    <hyperlink ref="B8" location="'Ann 3'!A1" display="'Ann 3'!A1" xr:uid="{8FBC39E4-25F8-481E-B777-9E173B73775E}"/>
    <hyperlink ref="B9" location="'Ann 5'!A1" display="Ann 4'!A1" xr:uid="{BBE99251-A1CC-449C-B7C7-C7912C4BE9F8}"/>
    <hyperlink ref="B10" location="'Ann 6'!A1" display="Ann 5'!A1" xr:uid="{039FB714-F86A-4E40-A866-4CE2ACE3D523}"/>
    <hyperlink ref="B11" location="'Ann 6'!A1" display="'Ann 6'!A1" xr:uid="{1C646A59-D812-486C-8F45-1B34AF620DAB}"/>
    <hyperlink ref="B12" location="'Ann 7'!A1" display="'Ann 7'!A1" xr:uid="{B291BE6F-F44F-4C59-8CAA-98F93D73BE5C}"/>
    <hyperlink ref="B13" location="'Ann 8'!A1" display="'Ann 8'!A1" xr:uid="{28D7B713-A94A-4538-857E-B735BE939ABC}"/>
    <hyperlink ref="B14" location="'Ann 9'!A1" display="'Ann 9'!A1" xr:uid="{A84C10F9-9E26-492E-8854-B5AA8BD3A067}"/>
    <hyperlink ref="B15" location="'Ann 10'!A1" display="'Ann 10'!A1" xr:uid="{8F22DEB8-B41A-4589-BDB1-054056FB3C9E}"/>
    <hyperlink ref="B16" location="'Ann 11'!A1" display="'Ann 11'!A1" xr:uid="{380BC5C4-DA76-41FB-A45E-9E55206E9FDA}"/>
    <hyperlink ref="B17" location="'Ann 13'!A1" display="'Ann 13'!A1" xr:uid="{06FF1154-A984-4C9A-B733-F0912B49F3C9}"/>
    <hyperlink ref="B18" location="Assumptions!A1" display="Assumptions!A1" xr:uid="{609D2BAB-7839-4CA3-9B6B-AF93BF852E70}"/>
    <hyperlink ref="B20" location="Budgets!A1" display="Budgets!A1" xr:uid="{7B7C1868-FC09-449F-851A-26D4E541FAEF}"/>
    <hyperlink ref="B19" location="'Cash flows'!A1" display="'Cash flows'!A1" xr:uid="{B5A5DA20-A41B-4B22-9F4D-73BA0AE5FE9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3"/>
  <sheetViews>
    <sheetView workbookViewId="0">
      <selection activeCell="A3" sqref="A3"/>
    </sheetView>
  </sheetViews>
  <sheetFormatPr defaultRowHeight="17" x14ac:dyDescent="0.6"/>
  <cols>
    <col min="1" max="1" width="8.7265625" style="4"/>
    <col min="2" max="2" width="23.54296875" style="4" bestFit="1" customWidth="1"/>
    <col min="3" max="3" width="8.7265625" style="4"/>
    <col min="4" max="4" width="14.6328125" style="4" bestFit="1" customWidth="1"/>
    <col min="5" max="5" width="12.54296875" style="4" bestFit="1" customWidth="1"/>
    <col min="6" max="6" width="13.6328125" style="4" bestFit="1" customWidth="1"/>
    <col min="7" max="15" width="8.7265625" style="4"/>
    <col min="16" max="16" width="13.6328125" style="4" bestFit="1" customWidth="1"/>
    <col min="17" max="17" width="12.54296875" style="4" bestFit="1" customWidth="1"/>
    <col min="18" max="16384" width="8.7265625" style="4"/>
  </cols>
  <sheetData>
    <row r="1" spans="1:8" x14ac:dyDescent="0.6">
      <c r="A1" s="3" t="s">
        <v>75</v>
      </c>
    </row>
    <row r="3" spans="1:8" x14ac:dyDescent="0.6">
      <c r="A3" s="69" t="s">
        <v>76</v>
      </c>
    </row>
    <row r="5" spans="1:8" x14ac:dyDescent="0.6">
      <c r="B5" s="4" t="s">
        <v>54</v>
      </c>
      <c r="F5" s="82">
        <f>Budgets!B19*Budgets!C19</f>
        <v>35000000</v>
      </c>
    </row>
    <row r="6" spans="1:8" x14ac:dyDescent="0.6">
      <c r="B6" s="4" t="s">
        <v>77</v>
      </c>
    </row>
    <row r="7" spans="1:8" x14ac:dyDescent="0.6">
      <c r="B7" s="83" t="s">
        <v>220</v>
      </c>
      <c r="E7" s="82">
        <f>'Ann 4'!C7/60%</f>
        <v>27500000.000000004</v>
      </c>
    </row>
    <row r="8" spans="1:8" x14ac:dyDescent="0.6">
      <c r="B8" s="83" t="s">
        <v>78</v>
      </c>
      <c r="E8" s="40">
        <f>E7*5%</f>
        <v>1375000.0000000002</v>
      </c>
    </row>
    <row r="9" spans="1:8" x14ac:dyDescent="0.6">
      <c r="B9" s="83" t="s">
        <v>79</v>
      </c>
      <c r="E9" s="40">
        <f>2.5*Budgets!B19</f>
        <v>3125000</v>
      </c>
      <c r="G9" s="83"/>
    </row>
    <row r="10" spans="1:8" x14ac:dyDescent="0.6">
      <c r="B10" s="83" t="s">
        <v>80</v>
      </c>
      <c r="E10" s="40">
        <f>1000000*10%</f>
        <v>100000</v>
      </c>
      <c r="F10" s="40"/>
    </row>
    <row r="11" spans="1:8" x14ac:dyDescent="0.6">
      <c r="B11" s="83" t="s">
        <v>84</v>
      </c>
      <c r="E11" s="40">
        <f>'Ann 4'!K44</f>
        <v>1684299.2059195316</v>
      </c>
      <c r="F11" s="40">
        <f>SUM(E7:E11)</f>
        <v>33784299.205919534</v>
      </c>
      <c r="H11" s="39"/>
    </row>
    <row r="12" spans="1:8" x14ac:dyDescent="0.6">
      <c r="B12" s="4" t="s">
        <v>81</v>
      </c>
      <c r="F12" s="40">
        <f>F5-F11</f>
        <v>1215700.794080466</v>
      </c>
    </row>
    <row r="13" spans="1:8" x14ac:dyDescent="0.6">
      <c r="B13" s="4" t="s">
        <v>82</v>
      </c>
    </row>
    <row r="14" spans="1:8" x14ac:dyDescent="0.6">
      <c r="B14" s="4" t="s">
        <v>83</v>
      </c>
      <c r="F14" s="40">
        <f>'Ann 8'!E12</f>
        <v>1368000</v>
      </c>
    </row>
    <row r="15" spans="1:8" x14ac:dyDescent="0.6">
      <c r="B15" s="4" t="s">
        <v>86</v>
      </c>
      <c r="F15" s="40">
        <v>100000</v>
      </c>
    </row>
    <row r="16" spans="1:8" x14ac:dyDescent="0.6">
      <c r="B16" s="4" t="s">
        <v>240</v>
      </c>
      <c r="F16" s="40">
        <v>200000</v>
      </c>
    </row>
    <row r="17" spans="2:6" x14ac:dyDescent="0.6">
      <c r="B17" s="4" t="s">
        <v>241</v>
      </c>
      <c r="F17" s="40">
        <f>'Ann 4'!C26</f>
        <v>427251.92307692306</v>
      </c>
    </row>
    <row r="18" spans="2:6" x14ac:dyDescent="0.6">
      <c r="B18" s="4" t="s">
        <v>85</v>
      </c>
      <c r="F18" s="40">
        <f>SUM('Ann 9'!C12:D20)</f>
        <v>5904010.903096172</v>
      </c>
    </row>
    <row r="19" spans="2:6" x14ac:dyDescent="0.6">
      <c r="B19" s="4" t="s">
        <v>88</v>
      </c>
      <c r="F19" s="40">
        <f>SUM(F14:F18)</f>
        <v>7999262.826173095</v>
      </c>
    </row>
    <row r="22" spans="2:6" x14ac:dyDescent="0.6">
      <c r="D22" s="4" t="s">
        <v>234</v>
      </c>
    </row>
    <row r="23" spans="2:6" x14ac:dyDescent="0.6">
      <c r="B23" s="4" t="s">
        <v>93</v>
      </c>
      <c r="D23" s="4">
        <f>Budgets!C19</f>
        <v>28</v>
      </c>
    </row>
    <row r="24" spans="2:6" x14ac:dyDescent="0.6">
      <c r="B24" s="83" t="s">
        <v>235</v>
      </c>
      <c r="D24" s="4">
        <f>Budgets!D19</f>
        <v>20</v>
      </c>
    </row>
    <row r="25" spans="2:6" x14ac:dyDescent="0.6">
      <c r="B25" s="83" t="s">
        <v>92</v>
      </c>
      <c r="D25" s="4">
        <f>D23*5%</f>
        <v>1.4000000000000001</v>
      </c>
    </row>
    <row r="26" spans="2:6" x14ac:dyDescent="0.6">
      <c r="B26" s="83" t="s">
        <v>91</v>
      </c>
      <c r="D26" s="4">
        <f>100000/Budgets!B19</f>
        <v>0.08</v>
      </c>
    </row>
    <row r="27" spans="2:6" x14ac:dyDescent="0.6">
      <c r="B27" s="83" t="s">
        <v>238</v>
      </c>
      <c r="D27" s="4">
        <v>2.5</v>
      </c>
    </row>
    <row r="28" spans="2:6" x14ac:dyDescent="0.6">
      <c r="B28" s="4" t="s">
        <v>90</v>
      </c>
      <c r="D28" s="39">
        <f>E11/Budgets!B19</f>
        <v>1.3474393647356253</v>
      </c>
    </row>
    <row r="29" spans="2:6" x14ac:dyDescent="0.6">
      <c r="B29" s="4" t="s">
        <v>89</v>
      </c>
      <c r="D29" s="39">
        <f>D23-D24-D25-D26-D28-D27</f>
        <v>2.6725606352643743</v>
      </c>
    </row>
    <row r="30" spans="2:6" x14ac:dyDescent="0.6">
      <c r="B30" s="4" t="s">
        <v>87</v>
      </c>
      <c r="D30" s="40">
        <f>F19</f>
        <v>7999262.826173095</v>
      </c>
    </row>
    <row r="31" spans="2:6" x14ac:dyDescent="0.6">
      <c r="B31" s="4" t="s">
        <v>236</v>
      </c>
      <c r="D31" s="39">
        <f>D30/D29</f>
        <v>2993108.0779320821</v>
      </c>
    </row>
    <row r="32" spans="2:6" x14ac:dyDescent="0.6">
      <c r="B32" s="4" t="s">
        <v>237</v>
      </c>
      <c r="D32" s="27">
        <f>D31/Budgets!B19</f>
        <v>2.3944864623456659</v>
      </c>
    </row>
    <row r="33" spans="4:4" x14ac:dyDescent="0.6">
      <c r="D33" s="2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94</v>
      </c>
    </row>
    <row r="3" spans="1:11" x14ac:dyDescent="0.35">
      <c r="C3" s="105" t="s">
        <v>95</v>
      </c>
      <c r="D3" s="105"/>
      <c r="E3" s="105"/>
      <c r="F3" s="105"/>
      <c r="G3" s="105"/>
      <c r="H3" s="105"/>
      <c r="I3" s="105"/>
      <c r="J3" s="105"/>
      <c r="K3" s="105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96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97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98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topLeftCell="A22" workbookViewId="0">
      <selection activeCell="D34" sqref="D34"/>
    </sheetView>
  </sheetViews>
  <sheetFormatPr defaultRowHeight="17" x14ac:dyDescent="0.6"/>
  <cols>
    <col min="1" max="1" width="4.54296875" style="4" bestFit="1" customWidth="1"/>
    <col min="2" max="2" width="7.36328125" style="4" bestFit="1" customWidth="1"/>
    <col min="3" max="3" width="17.81640625" style="4" bestFit="1" customWidth="1"/>
    <col min="4" max="4" width="17.36328125" style="4" bestFit="1" customWidth="1"/>
    <col min="5" max="5" width="7.26953125" style="4" bestFit="1" customWidth="1"/>
    <col min="6" max="16384" width="8.7265625" style="4"/>
  </cols>
  <sheetData>
    <row r="1" spans="1:7" x14ac:dyDescent="0.6">
      <c r="A1" s="3" t="s">
        <v>104</v>
      </c>
    </row>
    <row r="3" spans="1:7" x14ac:dyDescent="0.6">
      <c r="A3" s="69" t="s">
        <v>105</v>
      </c>
    </row>
    <row r="4" spans="1:7" x14ac:dyDescent="0.6">
      <c r="A4" s="4" t="s">
        <v>106</v>
      </c>
      <c r="D4" s="28">
        <f>'Ann 2'!C6</f>
        <v>71.900000000000006</v>
      </c>
    </row>
    <row r="5" spans="1:7" x14ac:dyDescent="0.6">
      <c r="A5" s="4" t="s">
        <v>107</v>
      </c>
      <c r="D5" s="84">
        <v>0.06</v>
      </c>
    </row>
    <row r="6" spans="1:7" x14ac:dyDescent="0.6">
      <c r="A6" s="4" t="s">
        <v>108</v>
      </c>
      <c r="D6" s="85" t="s">
        <v>170</v>
      </c>
    </row>
    <row r="8" spans="1:7" x14ac:dyDescent="0.6">
      <c r="A8" s="23" t="s">
        <v>74</v>
      </c>
      <c r="B8" s="23" t="s">
        <v>109</v>
      </c>
      <c r="C8" s="23" t="s">
        <v>110</v>
      </c>
      <c r="D8" s="23" t="s">
        <v>112</v>
      </c>
      <c r="E8" s="23" t="s">
        <v>111</v>
      </c>
    </row>
    <row r="9" spans="1:7" x14ac:dyDescent="0.6">
      <c r="A9" s="106">
        <v>1</v>
      </c>
      <c r="B9" s="5">
        <v>1</v>
      </c>
      <c r="C9" s="86">
        <f>$D$4</f>
        <v>71.900000000000006</v>
      </c>
      <c r="D9" s="5">
        <v>0</v>
      </c>
      <c r="E9" s="5">
        <f>C9*$D$5/4</f>
        <v>1.0785</v>
      </c>
    </row>
    <row r="10" spans="1:7" x14ac:dyDescent="0.6">
      <c r="A10" s="106"/>
      <c r="B10" s="5">
        <v>2</v>
      </c>
      <c r="C10" s="86">
        <f>$D$4</f>
        <v>71.900000000000006</v>
      </c>
      <c r="D10" s="5">
        <v>0</v>
      </c>
      <c r="E10" s="5">
        <f>C10*$D$5/4</f>
        <v>1.0785</v>
      </c>
      <c r="G10" s="87"/>
    </row>
    <row r="11" spans="1:7" x14ac:dyDescent="0.6">
      <c r="A11" s="106"/>
      <c r="B11" s="5">
        <v>3</v>
      </c>
      <c r="C11" s="86">
        <f>$D$4</f>
        <v>71.900000000000006</v>
      </c>
      <c r="D11" s="5">
        <f>D4/26</f>
        <v>2.7653846153846158</v>
      </c>
      <c r="E11" s="5">
        <f>C11*$D$5/4</f>
        <v>1.0785</v>
      </c>
    </row>
    <row r="12" spans="1:7" x14ac:dyDescent="0.6">
      <c r="A12" s="106"/>
      <c r="B12" s="5">
        <v>4</v>
      </c>
      <c r="C12" s="5">
        <f t="shared" ref="C12:C17" si="0">C11-D11</f>
        <v>69.134615384615387</v>
      </c>
      <c r="D12" s="5">
        <f>D11</f>
        <v>2.7653846153846158</v>
      </c>
      <c r="E12" s="5">
        <f>C12*$D$5/4</f>
        <v>1.0370192307692307</v>
      </c>
    </row>
    <row r="13" spans="1:7" x14ac:dyDescent="0.6">
      <c r="A13" s="106">
        <v>2</v>
      </c>
      <c r="B13" s="5">
        <v>1</v>
      </c>
      <c r="C13" s="5">
        <f t="shared" si="0"/>
        <v>66.369230769230768</v>
      </c>
      <c r="D13" s="5">
        <f t="shared" ref="D13:D35" si="1">D12</f>
        <v>2.7653846153846158</v>
      </c>
      <c r="E13" s="5">
        <f t="shared" ref="E13:E36" si="2">C13*$D$5/4</f>
        <v>0.99553846153846148</v>
      </c>
    </row>
    <row r="14" spans="1:7" x14ac:dyDescent="0.6">
      <c r="A14" s="106"/>
      <c r="B14" s="5">
        <v>2</v>
      </c>
      <c r="C14" s="5">
        <f t="shared" si="0"/>
        <v>63.603846153846149</v>
      </c>
      <c r="D14" s="5">
        <f t="shared" si="1"/>
        <v>2.7653846153846158</v>
      </c>
      <c r="E14" s="5">
        <f t="shared" si="2"/>
        <v>0.95405769230769222</v>
      </c>
    </row>
    <row r="15" spans="1:7" x14ac:dyDescent="0.6">
      <c r="A15" s="106"/>
      <c r="B15" s="5">
        <v>3</v>
      </c>
      <c r="C15" s="5">
        <f t="shared" si="0"/>
        <v>60.83846153846153</v>
      </c>
      <c r="D15" s="5">
        <f t="shared" si="1"/>
        <v>2.7653846153846158</v>
      </c>
      <c r="E15" s="5">
        <f t="shared" si="2"/>
        <v>0.91257692307692295</v>
      </c>
    </row>
    <row r="16" spans="1:7" x14ac:dyDescent="0.6">
      <c r="A16" s="106"/>
      <c r="B16" s="5">
        <v>4</v>
      </c>
      <c r="C16" s="5">
        <f t="shared" si="0"/>
        <v>58.073076923076911</v>
      </c>
      <c r="D16" s="5">
        <f t="shared" si="1"/>
        <v>2.7653846153846158</v>
      </c>
      <c r="E16" s="5">
        <f t="shared" si="2"/>
        <v>0.87109615384615369</v>
      </c>
    </row>
    <row r="17" spans="1:5" x14ac:dyDescent="0.6">
      <c r="A17" s="106">
        <v>3</v>
      </c>
      <c r="B17" s="5">
        <v>1</v>
      </c>
      <c r="C17" s="5">
        <f t="shared" si="0"/>
        <v>55.307692307692292</v>
      </c>
      <c r="D17" s="5">
        <f t="shared" si="1"/>
        <v>2.7653846153846158</v>
      </c>
      <c r="E17" s="5">
        <f t="shared" si="2"/>
        <v>0.82961538461538431</v>
      </c>
    </row>
    <row r="18" spans="1:5" x14ac:dyDescent="0.6">
      <c r="A18" s="106"/>
      <c r="B18" s="5">
        <v>2</v>
      </c>
      <c r="C18" s="5">
        <f t="shared" ref="C18:C36" si="3">C17-D17</f>
        <v>52.542307692307674</v>
      </c>
      <c r="D18" s="5">
        <f t="shared" si="1"/>
        <v>2.7653846153846158</v>
      </c>
      <c r="E18" s="5">
        <f t="shared" si="2"/>
        <v>0.78813461538461504</v>
      </c>
    </row>
    <row r="19" spans="1:5" x14ac:dyDescent="0.6">
      <c r="A19" s="106"/>
      <c r="B19" s="5">
        <v>3</v>
      </c>
      <c r="C19" s="5">
        <f t="shared" si="3"/>
        <v>49.776923076923055</v>
      </c>
      <c r="D19" s="5">
        <f t="shared" si="1"/>
        <v>2.7653846153846158</v>
      </c>
      <c r="E19" s="5">
        <f t="shared" si="2"/>
        <v>0.74665384615384578</v>
      </c>
    </row>
    <row r="20" spans="1:5" x14ac:dyDescent="0.6">
      <c r="A20" s="106"/>
      <c r="B20" s="5">
        <v>4</v>
      </c>
      <c r="C20" s="5">
        <f t="shared" si="3"/>
        <v>47.011538461538436</v>
      </c>
      <c r="D20" s="5">
        <f t="shared" si="1"/>
        <v>2.7653846153846158</v>
      </c>
      <c r="E20" s="5">
        <f t="shared" si="2"/>
        <v>0.70517307692307651</v>
      </c>
    </row>
    <row r="21" spans="1:5" x14ac:dyDescent="0.6">
      <c r="A21" s="106">
        <v>4</v>
      </c>
      <c r="B21" s="5">
        <v>1</v>
      </c>
      <c r="C21" s="5">
        <f t="shared" si="3"/>
        <v>44.246153846153817</v>
      </c>
      <c r="D21" s="5">
        <f t="shared" si="1"/>
        <v>2.7653846153846158</v>
      </c>
      <c r="E21" s="5">
        <f t="shared" si="2"/>
        <v>0.66369230769230725</v>
      </c>
    </row>
    <row r="22" spans="1:5" x14ac:dyDescent="0.6">
      <c r="A22" s="106"/>
      <c r="B22" s="5">
        <v>2</v>
      </c>
      <c r="C22" s="5">
        <f t="shared" si="3"/>
        <v>41.480769230769198</v>
      </c>
      <c r="D22" s="5">
        <f t="shared" si="1"/>
        <v>2.7653846153846158</v>
      </c>
      <c r="E22" s="5">
        <f t="shared" si="2"/>
        <v>0.62221153846153798</v>
      </c>
    </row>
    <row r="23" spans="1:5" x14ac:dyDescent="0.6">
      <c r="A23" s="106"/>
      <c r="B23" s="5">
        <v>3</v>
      </c>
      <c r="C23" s="5">
        <f t="shared" si="3"/>
        <v>38.715384615384579</v>
      </c>
      <c r="D23" s="5">
        <f t="shared" si="1"/>
        <v>2.7653846153846158</v>
      </c>
      <c r="E23" s="5">
        <f t="shared" si="2"/>
        <v>0.58073076923076872</v>
      </c>
    </row>
    <row r="24" spans="1:5" x14ac:dyDescent="0.6">
      <c r="A24" s="106"/>
      <c r="B24" s="5">
        <v>4</v>
      </c>
      <c r="C24" s="5">
        <f t="shared" si="3"/>
        <v>35.94999999999996</v>
      </c>
      <c r="D24" s="5">
        <f t="shared" si="1"/>
        <v>2.7653846153846158</v>
      </c>
      <c r="E24" s="5">
        <f t="shared" si="2"/>
        <v>0.53924999999999934</v>
      </c>
    </row>
    <row r="25" spans="1:5" x14ac:dyDescent="0.6">
      <c r="A25" s="106">
        <v>5</v>
      </c>
      <c r="B25" s="5">
        <v>1</v>
      </c>
      <c r="C25" s="5">
        <f t="shared" si="3"/>
        <v>33.184615384615341</v>
      </c>
      <c r="D25" s="5">
        <f t="shared" si="1"/>
        <v>2.7653846153846158</v>
      </c>
      <c r="E25" s="5">
        <f t="shared" si="2"/>
        <v>0.49776923076923008</v>
      </c>
    </row>
    <row r="26" spans="1:5" x14ac:dyDescent="0.6">
      <c r="A26" s="106"/>
      <c r="B26" s="5">
        <v>2</v>
      </c>
      <c r="C26" s="5">
        <f t="shared" si="3"/>
        <v>30.419230769230726</v>
      </c>
      <c r="D26" s="5">
        <f t="shared" si="1"/>
        <v>2.7653846153846158</v>
      </c>
      <c r="E26" s="5">
        <f t="shared" si="2"/>
        <v>0.45628846153846087</v>
      </c>
    </row>
    <row r="27" spans="1:5" x14ac:dyDescent="0.6">
      <c r="A27" s="106"/>
      <c r="B27" s="5">
        <v>3</v>
      </c>
      <c r="C27" s="5">
        <f t="shared" si="3"/>
        <v>27.653846153846111</v>
      </c>
      <c r="D27" s="5">
        <f t="shared" si="1"/>
        <v>2.7653846153846158</v>
      </c>
      <c r="E27" s="5">
        <f t="shared" si="2"/>
        <v>0.41480769230769166</v>
      </c>
    </row>
    <row r="28" spans="1:5" x14ac:dyDescent="0.6">
      <c r="A28" s="106"/>
      <c r="B28" s="5">
        <v>4</v>
      </c>
      <c r="C28" s="5">
        <f t="shared" si="3"/>
        <v>24.888461538461495</v>
      </c>
      <c r="D28" s="5">
        <f t="shared" si="1"/>
        <v>2.7653846153846158</v>
      </c>
      <c r="E28" s="5">
        <f t="shared" si="2"/>
        <v>0.37332692307692239</v>
      </c>
    </row>
    <row r="29" spans="1:5" x14ac:dyDescent="0.6">
      <c r="A29" s="106">
        <v>6</v>
      </c>
      <c r="B29" s="5">
        <v>1</v>
      </c>
      <c r="C29" s="5">
        <f t="shared" si="3"/>
        <v>22.12307692307688</v>
      </c>
      <c r="D29" s="5">
        <f t="shared" si="1"/>
        <v>2.7653846153846158</v>
      </c>
      <c r="E29" s="5">
        <f t="shared" si="2"/>
        <v>0.33184615384615318</v>
      </c>
    </row>
    <row r="30" spans="1:5" x14ac:dyDescent="0.6">
      <c r="A30" s="106"/>
      <c r="B30" s="5">
        <v>2</v>
      </c>
      <c r="C30" s="5">
        <f t="shared" si="3"/>
        <v>19.357692307692265</v>
      </c>
      <c r="D30" s="5">
        <f t="shared" si="1"/>
        <v>2.7653846153846158</v>
      </c>
      <c r="E30" s="5">
        <f t="shared" si="2"/>
        <v>0.29036538461538397</v>
      </c>
    </row>
    <row r="31" spans="1:5" x14ac:dyDescent="0.6">
      <c r="A31" s="106"/>
      <c r="B31" s="5">
        <v>3</v>
      </c>
      <c r="C31" s="5">
        <f t="shared" si="3"/>
        <v>16.592307692307649</v>
      </c>
      <c r="D31" s="5">
        <f t="shared" si="1"/>
        <v>2.7653846153846158</v>
      </c>
      <c r="E31" s="5">
        <f t="shared" si="2"/>
        <v>0.24888461538461473</v>
      </c>
    </row>
    <row r="32" spans="1:5" x14ac:dyDescent="0.6">
      <c r="A32" s="106"/>
      <c r="B32" s="5">
        <v>4</v>
      </c>
      <c r="C32" s="5">
        <f t="shared" si="3"/>
        <v>13.826923076923034</v>
      </c>
      <c r="D32" s="5">
        <f t="shared" si="1"/>
        <v>2.7653846153846158</v>
      </c>
      <c r="E32" s="5">
        <f t="shared" si="2"/>
        <v>0.20740384615384549</v>
      </c>
    </row>
    <row r="33" spans="1:5" x14ac:dyDescent="0.6">
      <c r="A33" s="106">
        <v>7</v>
      </c>
      <c r="B33" s="5">
        <v>1</v>
      </c>
      <c r="C33" s="5">
        <f t="shared" si="3"/>
        <v>11.061538461538419</v>
      </c>
      <c r="D33" s="5">
        <f t="shared" si="1"/>
        <v>2.7653846153846158</v>
      </c>
      <c r="E33" s="5">
        <f t="shared" si="2"/>
        <v>0.16592307692307628</v>
      </c>
    </row>
    <row r="34" spans="1:5" x14ac:dyDescent="0.6">
      <c r="A34" s="106"/>
      <c r="B34" s="5">
        <v>2</v>
      </c>
      <c r="C34" s="5">
        <f t="shared" si="3"/>
        <v>8.2961538461538034</v>
      </c>
      <c r="D34" s="5">
        <f t="shared" si="1"/>
        <v>2.7653846153846158</v>
      </c>
      <c r="E34" s="5">
        <f t="shared" si="2"/>
        <v>0.12444230769230705</v>
      </c>
    </row>
    <row r="35" spans="1:5" x14ac:dyDescent="0.6">
      <c r="A35" s="106"/>
      <c r="B35" s="5">
        <v>3</v>
      </c>
      <c r="C35" s="5">
        <f t="shared" si="3"/>
        <v>5.530769230769188</v>
      </c>
      <c r="D35" s="5">
        <f t="shared" si="1"/>
        <v>2.7653846153846158</v>
      </c>
      <c r="E35" s="5">
        <f t="shared" si="2"/>
        <v>8.2961538461537823E-2</v>
      </c>
    </row>
    <row r="36" spans="1:5" x14ac:dyDescent="0.6">
      <c r="A36" s="106"/>
      <c r="B36" s="5">
        <v>4</v>
      </c>
      <c r="C36" s="5">
        <f t="shared" si="3"/>
        <v>2.7653846153845723</v>
      </c>
      <c r="D36" s="86">
        <f>D4-SUM(D9:D35)</f>
        <v>2.7653846153845763</v>
      </c>
      <c r="E36" s="5">
        <f t="shared" si="2"/>
        <v>4.1480769230768585E-2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32"/>
  <sheetViews>
    <sheetView topLeftCell="A8" workbookViewId="0">
      <selection activeCell="C20" sqref="C20"/>
    </sheetView>
  </sheetViews>
  <sheetFormatPr defaultRowHeight="17" x14ac:dyDescent="0.6"/>
  <cols>
    <col min="1" max="1" width="26.08984375" style="4" bestFit="1" customWidth="1"/>
    <col min="2" max="2" width="18" style="4" bestFit="1" customWidth="1"/>
    <col min="3" max="3" width="13.453125" style="4" bestFit="1" customWidth="1"/>
    <col min="4" max="4" width="13.7265625" style="4" bestFit="1" customWidth="1"/>
    <col min="5" max="10" width="13.453125" style="4" bestFit="1" customWidth="1"/>
    <col min="11" max="11" width="12.54296875" style="4" bestFit="1" customWidth="1"/>
    <col min="12" max="16384" width="8.7265625" style="4"/>
  </cols>
  <sheetData>
    <row r="1" spans="1:10" x14ac:dyDescent="0.6">
      <c r="A1" s="4" t="s">
        <v>189</v>
      </c>
    </row>
    <row r="3" spans="1:10" x14ac:dyDescent="0.6">
      <c r="A3" s="100" t="s">
        <v>286</v>
      </c>
      <c r="B3" s="100" t="s">
        <v>52</v>
      </c>
      <c r="C3" s="100"/>
      <c r="D3" s="100"/>
      <c r="E3" s="100"/>
      <c r="F3" s="100"/>
      <c r="G3" s="100"/>
      <c r="H3" s="100"/>
      <c r="I3" s="100"/>
      <c r="J3" s="100"/>
    </row>
    <row r="4" spans="1:10" x14ac:dyDescent="0.6">
      <c r="A4" s="100"/>
      <c r="B4" s="67" t="s">
        <v>43</v>
      </c>
      <c r="C4" s="67" t="s">
        <v>44</v>
      </c>
      <c r="D4" s="67" t="s">
        <v>45</v>
      </c>
      <c r="E4" s="67" t="s">
        <v>46</v>
      </c>
      <c r="F4" s="67" t="s">
        <v>47</v>
      </c>
      <c r="G4" s="67" t="s">
        <v>48</v>
      </c>
      <c r="H4" s="67" t="s">
        <v>49</v>
      </c>
      <c r="I4" s="67" t="s">
        <v>50</v>
      </c>
      <c r="J4" s="67" t="s">
        <v>51</v>
      </c>
    </row>
    <row r="5" spans="1:10" x14ac:dyDescent="0.6">
      <c r="A5" s="5" t="s">
        <v>190</v>
      </c>
      <c r="B5" s="88">
        <v>0.6</v>
      </c>
      <c r="C5" s="88">
        <v>0.65</v>
      </c>
      <c r="D5" s="88">
        <v>0.7</v>
      </c>
      <c r="E5" s="88">
        <v>0.75</v>
      </c>
      <c r="F5" s="88">
        <v>0.8</v>
      </c>
      <c r="G5" s="88">
        <v>0.85</v>
      </c>
      <c r="H5" s="88">
        <v>0.9</v>
      </c>
      <c r="I5" s="88">
        <v>0.95</v>
      </c>
      <c r="J5" s="88">
        <v>1</v>
      </c>
    </row>
    <row r="6" spans="1:10" x14ac:dyDescent="0.6">
      <c r="A6" s="5" t="s">
        <v>207</v>
      </c>
      <c r="B6" s="89">
        <f t="shared" ref="B6:J6" si="0">$B$19*B5</f>
        <v>750000</v>
      </c>
      <c r="C6" s="89">
        <f t="shared" si="0"/>
        <v>812500</v>
      </c>
      <c r="D6" s="89">
        <f t="shared" si="0"/>
        <v>875000</v>
      </c>
      <c r="E6" s="89">
        <f t="shared" si="0"/>
        <v>937500</v>
      </c>
      <c r="F6" s="89">
        <f t="shared" si="0"/>
        <v>1000000</v>
      </c>
      <c r="G6" s="89">
        <f t="shared" si="0"/>
        <v>1062500</v>
      </c>
      <c r="H6" s="89">
        <f t="shared" si="0"/>
        <v>1125000</v>
      </c>
      <c r="I6" s="89">
        <f t="shared" si="0"/>
        <v>1187500</v>
      </c>
      <c r="J6" s="89">
        <f t="shared" si="0"/>
        <v>1250000</v>
      </c>
    </row>
    <row r="7" spans="1:10" x14ac:dyDescent="0.6">
      <c r="A7" s="5" t="s">
        <v>191</v>
      </c>
      <c r="B7" s="89">
        <f>B6*99%</f>
        <v>742500</v>
      </c>
      <c r="C7" s="89">
        <f t="shared" ref="C7:F7" si="1">C6*99%</f>
        <v>804375</v>
      </c>
      <c r="D7" s="89">
        <f t="shared" si="1"/>
        <v>866250</v>
      </c>
      <c r="E7" s="89">
        <f t="shared" si="1"/>
        <v>928125</v>
      </c>
      <c r="F7" s="89">
        <f t="shared" si="1"/>
        <v>990000</v>
      </c>
      <c r="G7" s="89">
        <f>MIN(G6*101%,G24+G25)</f>
        <v>1073125</v>
      </c>
      <c r="H7" s="89">
        <f>MIN(H6*101%,H24+H25)</f>
        <v>1136250</v>
      </c>
      <c r="I7" s="89">
        <f>MIN(I6*101%,I24+I25)</f>
        <v>1199375</v>
      </c>
      <c r="J7" s="89">
        <f>MIN(J6*101%,J24+J25)</f>
        <v>1260000</v>
      </c>
    </row>
    <row r="8" spans="1:10" x14ac:dyDescent="0.6">
      <c r="A8" s="5" t="s">
        <v>54</v>
      </c>
      <c r="B8" s="89">
        <f>B6*$C$19</f>
        <v>21000000</v>
      </c>
      <c r="C8" s="89">
        <f t="shared" ref="C8:J8" si="2">C6*$C$19*1.05</f>
        <v>23887500</v>
      </c>
      <c r="D8" s="89">
        <f t="shared" si="2"/>
        <v>25725000</v>
      </c>
      <c r="E8" s="89">
        <f t="shared" si="2"/>
        <v>27562500</v>
      </c>
      <c r="F8" s="89">
        <f t="shared" si="2"/>
        <v>29400000</v>
      </c>
      <c r="G8" s="89">
        <f t="shared" si="2"/>
        <v>31237500</v>
      </c>
      <c r="H8" s="89">
        <f t="shared" si="2"/>
        <v>33075000</v>
      </c>
      <c r="I8" s="89">
        <f t="shared" si="2"/>
        <v>34912500</v>
      </c>
      <c r="J8" s="89">
        <f t="shared" si="2"/>
        <v>36750000</v>
      </c>
    </row>
    <row r="9" spans="1:10" x14ac:dyDescent="0.6"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6">
      <c r="B10" s="28"/>
      <c r="C10" s="28"/>
      <c r="D10" s="28"/>
      <c r="E10" s="28"/>
      <c r="F10" s="28"/>
      <c r="G10" s="28"/>
      <c r="H10" s="28"/>
      <c r="I10" s="28"/>
      <c r="J10" s="28"/>
    </row>
    <row r="12" spans="1:10" x14ac:dyDescent="0.6">
      <c r="A12" s="3" t="s">
        <v>192</v>
      </c>
    </row>
    <row r="14" spans="1:10" x14ac:dyDescent="0.6">
      <c r="A14" s="4" t="s">
        <v>193</v>
      </c>
      <c r="B14" s="4">
        <f>20*1000</f>
        <v>20000</v>
      </c>
      <c r="C14" s="4" t="s">
        <v>295</v>
      </c>
    </row>
    <row r="15" spans="1:10" x14ac:dyDescent="0.6">
      <c r="A15" s="4" t="s">
        <v>297</v>
      </c>
      <c r="B15" s="4">
        <v>250</v>
      </c>
      <c r="C15" s="4" t="s">
        <v>296</v>
      </c>
    </row>
    <row r="16" spans="1:10" x14ac:dyDescent="0.6">
      <c r="A16" s="4" t="s">
        <v>194</v>
      </c>
      <c r="B16" s="82">
        <f>B14*B15/4</f>
        <v>1250000</v>
      </c>
      <c r="C16" s="4" t="s">
        <v>195</v>
      </c>
    </row>
    <row r="18" spans="1:11" s="92" customFormat="1" ht="34" x14ac:dyDescent="0.35">
      <c r="A18" s="90" t="s">
        <v>196</v>
      </c>
      <c r="B18" s="91" t="s">
        <v>197</v>
      </c>
      <c r="C18" s="91" t="s">
        <v>198</v>
      </c>
      <c r="D18" s="91" t="s">
        <v>199</v>
      </c>
    </row>
    <row r="19" spans="1:11" s="92" customFormat="1" x14ac:dyDescent="0.35">
      <c r="A19" s="90" t="s">
        <v>205</v>
      </c>
      <c r="B19" s="93">
        <f>B16</f>
        <v>1250000</v>
      </c>
      <c r="C19" s="94">
        <v>28</v>
      </c>
      <c r="D19" s="94">
        <v>20</v>
      </c>
      <c r="E19" s="95"/>
    </row>
    <row r="21" spans="1:11" x14ac:dyDescent="0.6">
      <c r="A21" s="3" t="s">
        <v>222</v>
      </c>
    </row>
    <row r="22" spans="1:11" x14ac:dyDescent="0.6">
      <c r="A22" s="100" t="s">
        <v>3</v>
      </c>
      <c r="B22" s="103" t="s">
        <v>52</v>
      </c>
      <c r="C22" s="103"/>
      <c r="D22" s="103"/>
      <c r="E22" s="103"/>
      <c r="F22" s="103"/>
      <c r="G22" s="103"/>
      <c r="H22" s="103"/>
      <c r="I22" s="103"/>
      <c r="J22" s="103"/>
      <c r="K22" s="99"/>
    </row>
    <row r="23" spans="1:11" x14ac:dyDescent="0.6">
      <c r="A23" s="100"/>
      <c r="B23" s="23" t="s">
        <v>43</v>
      </c>
      <c r="C23" s="23" t="s">
        <v>44</v>
      </c>
      <c r="D23" s="23" t="s">
        <v>45</v>
      </c>
      <c r="E23" s="23" t="s">
        <v>46</v>
      </c>
      <c r="F23" s="23" t="s">
        <v>47</v>
      </c>
      <c r="G23" s="23" t="s">
        <v>48</v>
      </c>
      <c r="H23" s="23" t="s">
        <v>49</v>
      </c>
      <c r="I23" s="23" t="s">
        <v>50</v>
      </c>
      <c r="J23" s="23" t="s">
        <v>51</v>
      </c>
    </row>
    <row r="24" spans="1:11" x14ac:dyDescent="0.6">
      <c r="A24" s="5" t="s">
        <v>200</v>
      </c>
      <c r="B24" s="71">
        <v>0</v>
      </c>
      <c r="C24" s="71">
        <f>B27</f>
        <v>7500</v>
      </c>
      <c r="D24" s="71">
        <f t="shared" ref="D24:J24" si="3">C27</f>
        <v>15625</v>
      </c>
      <c r="E24" s="71">
        <f t="shared" si="3"/>
        <v>24375</v>
      </c>
      <c r="F24" s="71">
        <f t="shared" si="3"/>
        <v>33750</v>
      </c>
      <c r="G24" s="71">
        <f t="shared" si="3"/>
        <v>43750</v>
      </c>
      <c r="H24" s="71">
        <f t="shared" si="3"/>
        <v>33125</v>
      </c>
      <c r="I24" s="71">
        <f t="shared" si="3"/>
        <v>21875</v>
      </c>
      <c r="J24" s="71">
        <f t="shared" si="3"/>
        <v>10000</v>
      </c>
    </row>
    <row r="25" spans="1:11" x14ac:dyDescent="0.6">
      <c r="A25" s="5" t="s">
        <v>201</v>
      </c>
      <c r="B25" s="71">
        <f t="shared" ref="B25:J25" si="4">B6</f>
        <v>750000</v>
      </c>
      <c r="C25" s="71">
        <f t="shared" si="4"/>
        <v>812500</v>
      </c>
      <c r="D25" s="71">
        <f t="shared" si="4"/>
        <v>875000</v>
      </c>
      <c r="E25" s="71">
        <f t="shared" si="4"/>
        <v>937500</v>
      </c>
      <c r="F25" s="71">
        <f t="shared" si="4"/>
        <v>1000000</v>
      </c>
      <c r="G25" s="71">
        <f t="shared" si="4"/>
        <v>1062500</v>
      </c>
      <c r="H25" s="71">
        <f t="shared" si="4"/>
        <v>1125000</v>
      </c>
      <c r="I25" s="71">
        <f t="shared" si="4"/>
        <v>1187500</v>
      </c>
      <c r="J25" s="71">
        <f t="shared" si="4"/>
        <v>1250000</v>
      </c>
    </row>
    <row r="26" spans="1:11" x14ac:dyDescent="0.6">
      <c r="A26" s="5" t="s">
        <v>202</v>
      </c>
      <c r="B26" s="71">
        <f t="shared" ref="B26:J26" si="5">B7</f>
        <v>742500</v>
      </c>
      <c r="C26" s="71">
        <f t="shared" si="5"/>
        <v>804375</v>
      </c>
      <c r="D26" s="71">
        <f t="shared" si="5"/>
        <v>866250</v>
      </c>
      <c r="E26" s="71">
        <f t="shared" si="5"/>
        <v>928125</v>
      </c>
      <c r="F26" s="71">
        <f t="shared" si="5"/>
        <v>990000</v>
      </c>
      <c r="G26" s="71">
        <f t="shared" si="5"/>
        <v>1073125</v>
      </c>
      <c r="H26" s="71">
        <f t="shared" si="5"/>
        <v>1136250</v>
      </c>
      <c r="I26" s="71">
        <f t="shared" si="5"/>
        <v>1199375</v>
      </c>
      <c r="J26" s="71">
        <f t="shared" si="5"/>
        <v>1260000</v>
      </c>
    </row>
    <row r="27" spans="1:11" x14ac:dyDescent="0.6">
      <c r="A27" s="5" t="s">
        <v>203</v>
      </c>
      <c r="B27" s="71">
        <f>B24+B25-B26</f>
        <v>7500</v>
      </c>
      <c r="C27" s="71">
        <f t="shared" ref="C27:J27" si="6">C24+C25-C26</f>
        <v>15625</v>
      </c>
      <c r="D27" s="71">
        <f t="shared" si="6"/>
        <v>24375</v>
      </c>
      <c r="E27" s="71">
        <f t="shared" si="6"/>
        <v>33750</v>
      </c>
      <c r="F27" s="71">
        <f t="shared" si="6"/>
        <v>43750</v>
      </c>
      <c r="G27" s="71">
        <f t="shared" si="6"/>
        <v>33125</v>
      </c>
      <c r="H27" s="71">
        <f t="shared" si="6"/>
        <v>21875</v>
      </c>
      <c r="I27" s="71">
        <f t="shared" si="6"/>
        <v>10000</v>
      </c>
      <c r="J27" s="71">
        <f t="shared" si="6"/>
        <v>0</v>
      </c>
    </row>
    <row r="30" spans="1:11" x14ac:dyDescent="0.6">
      <c r="A30" s="4" t="s">
        <v>204</v>
      </c>
    </row>
    <row r="31" spans="1:11" x14ac:dyDescent="0.6">
      <c r="A31" s="4" t="s">
        <v>206</v>
      </c>
    </row>
    <row r="32" spans="1:11" x14ac:dyDescent="0.6">
      <c r="A32" s="4" t="s">
        <v>208</v>
      </c>
    </row>
  </sheetData>
  <mergeCells count="4">
    <mergeCell ref="B3:J3"/>
    <mergeCell ref="A3:A4"/>
    <mergeCell ref="B22:J22"/>
    <mergeCell ref="A22:A23"/>
  </mergeCells>
  <pageMargins left="0.7" right="0.7" top="0.75" bottom="0.75" header="0.3" footer="0.3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workbookViewId="0">
      <selection activeCell="A3" sqref="A3"/>
    </sheetView>
  </sheetViews>
  <sheetFormatPr defaultRowHeight="17" x14ac:dyDescent="0.6"/>
  <cols>
    <col min="1" max="1" width="41.1796875" style="4" bestFit="1" customWidth="1"/>
    <col min="2" max="3" width="15.6328125" style="4" bestFit="1" customWidth="1"/>
    <col min="4" max="10" width="16.6328125" style="4" bestFit="1" customWidth="1"/>
    <col min="11" max="11" width="15.6328125" style="4" bestFit="1" customWidth="1"/>
    <col min="12" max="16384" width="8.7265625" style="4"/>
  </cols>
  <sheetData>
    <row r="1" spans="1:10" x14ac:dyDescent="0.6">
      <c r="A1" s="3" t="s">
        <v>226</v>
      </c>
    </row>
    <row r="2" spans="1:10" x14ac:dyDescent="0.6">
      <c r="A2" s="3"/>
    </row>
    <row r="3" spans="1:10" x14ac:dyDescent="0.6">
      <c r="A3" s="68" t="s">
        <v>3</v>
      </c>
      <c r="B3" s="68" t="s">
        <v>43</v>
      </c>
      <c r="C3" s="68" t="s">
        <v>44</v>
      </c>
      <c r="D3" s="68" t="s">
        <v>45</v>
      </c>
      <c r="E3" s="68" t="s">
        <v>46</v>
      </c>
      <c r="F3" s="68" t="s">
        <v>47</v>
      </c>
      <c r="G3" s="68" t="s">
        <v>48</v>
      </c>
      <c r="H3" s="68" t="s">
        <v>49</v>
      </c>
      <c r="I3" s="68" t="s">
        <v>50</v>
      </c>
      <c r="J3" s="68" t="s">
        <v>51</v>
      </c>
    </row>
    <row r="4" spans="1:10" x14ac:dyDescent="0.6">
      <c r="A4" s="5" t="s">
        <v>176</v>
      </c>
      <c r="B4" s="44">
        <v>1000000</v>
      </c>
      <c r="C4" s="44">
        <f>B16</f>
        <v>2244971.730769231</v>
      </c>
      <c r="D4" s="44">
        <f t="shared" ref="D4:J4" si="0">C16</f>
        <v>2101907.1653846158</v>
      </c>
      <c r="E4" s="44">
        <f t="shared" si="0"/>
        <v>2000100.9203076928</v>
      </c>
      <c r="F4" s="44">
        <f t="shared" si="0"/>
        <v>1851491.9559684626</v>
      </c>
      <c r="G4" s="44">
        <f t="shared" si="0"/>
        <v>1670160.415157723</v>
      </c>
      <c r="H4" s="44">
        <f t="shared" si="0"/>
        <v>1977868.5325060494</v>
      </c>
      <c r="I4" s="44">
        <f t="shared" si="0"/>
        <v>2303705.7850682</v>
      </c>
      <c r="J4" s="44">
        <f t="shared" si="0"/>
        <v>3757590.663396759</v>
      </c>
    </row>
    <row r="5" spans="1:10" x14ac:dyDescent="0.6">
      <c r="A5" s="5" t="s">
        <v>177</v>
      </c>
      <c r="B5" s="44">
        <f>'Ann 4'!C22-'Ann 5'!C13</f>
        <v>18900000</v>
      </c>
      <c r="C5" s="44">
        <f>'Ann 4'!D22-'Ann 5'!D13</f>
        <v>22358700</v>
      </c>
      <c r="D5" s="44">
        <f>'Ann 4'!E22-'Ann 5'!E13</f>
        <v>25041744</v>
      </c>
      <c r="E5" s="44">
        <f>'Ann 4'!F22-'Ann 5'!F13</f>
        <v>27903657.600000001</v>
      </c>
      <c r="F5" s="44">
        <f>'Ann 4'!G22-'Ann 5'!G13</f>
        <v>30954457.497600004</v>
      </c>
      <c r="G5" s="44">
        <f>'Ann 4'!H22-'Ann 5'!H13</f>
        <v>34204675.534848012</v>
      </c>
      <c r="H5" s="44">
        <f>'Ann 4'!I22-'Ann 5'!I13</f>
        <v>37665383.883079693</v>
      </c>
      <c r="I5" s="44">
        <f>'Ann 4'!J22-'Ann 5'!J13</f>
        <v>41348221.418314151</v>
      </c>
      <c r="J5" s="44">
        <f>'Ann 4'!K22-'Ann 5'!K13</f>
        <v>45265421.342154428</v>
      </c>
    </row>
    <row r="6" spans="1:10" x14ac:dyDescent="0.6">
      <c r="A6" s="5" t="s">
        <v>227</v>
      </c>
      <c r="B6" s="44">
        <v>0</v>
      </c>
      <c r="C6" s="44">
        <f>'Ann 5'!C24</f>
        <v>3300000.0000000005</v>
      </c>
      <c r="D6" s="44">
        <f>'Ann 5'!D24</f>
        <v>3753750.0000000009</v>
      </c>
      <c r="E6" s="44">
        <f>'Ann 5'!E24</f>
        <v>4244625.0000000009</v>
      </c>
      <c r="F6" s="44">
        <f>'Ann 5'!F24</f>
        <v>4775203.1250000009</v>
      </c>
      <c r="G6" s="44">
        <f>'Ann 5'!G24</f>
        <v>5348227.5</v>
      </c>
      <c r="H6" s="44">
        <f>'Ann 5'!H24</f>
        <v>5966616.3046875</v>
      </c>
      <c r="I6" s="44">
        <f>'Ann 5'!I24</f>
        <v>6633473.4210937498</v>
      </c>
      <c r="J6" s="44">
        <f>'Ann 5'!J24</f>
        <v>7352099.7083789064</v>
      </c>
    </row>
    <row r="7" spans="1:10" x14ac:dyDescent="0.6">
      <c r="A7" s="5" t="s">
        <v>228</v>
      </c>
      <c r="B7" s="44">
        <v>0</v>
      </c>
      <c r="C7" s="44">
        <f>'Ann 5'!C13</f>
        <v>2100000</v>
      </c>
      <c r="D7" s="44">
        <f>'Ann 5'!D13</f>
        <v>2484300</v>
      </c>
      <c r="E7" s="44">
        <f>'Ann 5'!E13</f>
        <v>2782416</v>
      </c>
      <c r="F7" s="44">
        <f>'Ann 5'!F13</f>
        <v>3100406.4</v>
      </c>
      <c r="G7" s="44">
        <f>'Ann 5'!G13</f>
        <v>3439384.1664000005</v>
      </c>
      <c r="H7" s="44">
        <f>'Ann 5'!H13</f>
        <v>3800519.5038720011</v>
      </c>
      <c r="I7" s="44">
        <f>'Ann 5'!I13</f>
        <v>4185042.6536755213</v>
      </c>
      <c r="J7" s="44">
        <f>'Ann 5'!J13</f>
        <v>4594246.8242571279</v>
      </c>
    </row>
    <row r="8" spans="1:10" x14ac:dyDescent="0.6">
      <c r="A8" s="5" t="s">
        <v>229</v>
      </c>
      <c r="B8" s="44">
        <f>'Ann 4'!C10+'Ann 4'!C19-'Ann 5'!C24</f>
        <v>16709250</v>
      </c>
      <c r="C8" s="44">
        <f>'Ann 4'!D10+'Ann 4'!D19-'Ann 5'!D24</f>
        <v>18741642.500000004</v>
      </c>
      <c r="D8" s="44">
        <f>'Ann 4'!E10+'Ann 4'!E19-'Ann 5'!E24</f>
        <v>20934042.300000004</v>
      </c>
      <c r="E8" s="44">
        <f>'Ann 4'!F10+'Ann 4'!F19-'Ann 5'!F24</f>
        <v>23297457.900500003</v>
      </c>
      <c r="F8" s="44">
        <f>'Ann 4'!G10+'Ann 4'!G19-'Ann 5'!G24</f>
        <v>25843599.15828</v>
      </c>
      <c r="G8" s="44">
        <f>'Ann 4'!H10+'Ann 4'!H19-'Ann 5'!H24</f>
        <v>28595544.930645548</v>
      </c>
      <c r="H8" s="44">
        <f>'Ann 4'!I10+'Ann 4'!I19-'Ann 5'!I24</f>
        <v>31545913.232483286</v>
      </c>
      <c r="I8" s="44">
        <f>'Ann 4'!J10+'Ann 4'!J19-'Ann 5'!J24</f>
        <v>34718784.050903223</v>
      </c>
      <c r="J8" s="44">
        <f>'Ann 4'!K10+'Ann 4'!K19-'Ann 5'!K24</f>
        <v>38127874.970446706</v>
      </c>
    </row>
    <row r="9" spans="1:10" x14ac:dyDescent="0.6">
      <c r="A9" s="5" t="s">
        <v>178</v>
      </c>
      <c r="B9" s="44">
        <f>'Ann 4'!C28</f>
        <v>527251.92307692301</v>
      </c>
      <c r="C9" s="44">
        <f>'Ann 4'!D28</f>
        <v>473326.92307692301</v>
      </c>
      <c r="D9" s="44">
        <f>'Ann 4'!E28</f>
        <v>406957.69230769214</v>
      </c>
      <c r="E9" s="44">
        <f>'Ann 4'!F28</f>
        <v>340588.46153846127</v>
      </c>
      <c r="F9" s="44">
        <f>'Ann 4'!G28</f>
        <v>274219.23076923052</v>
      </c>
      <c r="G9" s="44">
        <f>'Ann 4'!H28</f>
        <v>207849.99999999974</v>
      </c>
      <c r="H9" s="44">
        <f>'Ann 4'!I28</f>
        <v>141480.76923076896</v>
      </c>
      <c r="I9" s="44">
        <f>'Ann 4'!J28</f>
        <v>100000</v>
      </c>
      <c r="J9" s="44">
        <f>'Ann 4'!K28</f>
        <v>100000</v>
      </c>
    </row>
    <row r="10" spans="1:10" x14ac:dyDescent="0.6">
      <c r="A10" s="5"/>
      <c r="B10" s="44">
        <f t="shared" ref="B10:J10" si="1">B4+B5-B6+B7-B8-B9</f>
        <v>2663498.076923077</v>
      </c>
      <c r="C10" s="44">
        <f t="shared" si="1"/>
        <v>4188702.3076923052</v>
      </c>
      <c r="D10" s="44">
        <f t="shared" si="1"/>
        <v>4533201.1730769202</v>
      </c>
      <c r="E10" s="44">
        <f t="shared" si="1"/>
        <v>4803503.1582692293</v>
      </c>
      <c r="F10" s="44">
        <f t="shared" si="1"/>
        <v>5013334.3395192344</v>
      </c>
      <c r="G10" s="44">
        <f t="shared" si="1"/>
        <v>5162597.6857601851</v>
      </c>
      <c r="H10" s="44">
        <f t="shared" si="1"/>
        <v>5789761.6130561857</v>
      </c>
      <c r="I10" s="44">
        <f t="shared" si="1"/>
        <v>6384712.385060899</v>
      </c>
      <c r="J10" s="44">
        <f t="shared" si="1"/>
        <v>8037284.1509827077</v>
      </c>
    </row>
    <row r="11" spans="1:10" x14ac:dyDescent="0.6">
      <c r="A11" s="5" t="s">
        <v>231</v>
      </c>
      <c r="B11" s="44">
        <f>'Ann 4'!C34</f>
        <v>-134550.57692307691</v>
      </c>
      <c r="C11" s="44">
        <f>'Ann 4'!D34</f>
        <v>342084.17307692196</v>
      </c>
      <c r="D11" s="44">
        <f>'Ann 4'!E34</f>
        <v>497772.00230769103</v>
      </c>
      <c r="E11" s="44">
        <f>'Ann 4'!F34</f>
        <v>643903.72888846067</v>
      </c>
      <c r="F11" s="44">
        <f>'Ann 4'!G34</f>
        <v>780355.84123523207</v>
      </c>
      <c r="G11" s="44">
        <f>'Ann 4'!H34</f>
        <v>725084.40945358924</v>
      </c>
      <c r="H11" s="44">
        <f>'Ann 4'!I34</f>
        <v>830198.36575609667</v>
      </c>
      <c r="I11" s="44">
        <f>'Ann 4'!J34</f>
        <v>916437.80988283944</v>
      </c>
      <c r="J11" s="44">
        <f>'Ann 4'!K34</f>
        <v>999196.18774785707</v>
      </c>
    </row>
    <row r="12" spans="1:10" x14ac:dyDescent="0.6">
      <c r="A12" s="5"/>
      <c r="B12" s="44">
        <f>B10-B11</f>
        <v>2798048.653846154</v>
      </c>
      <c r="C12" s="44">
        <f t="shared" ref="C12:J12" si="2">C10-C11</f>
        <v>3846618.1346153831</v>
      </c>
      <c r="D12" s="44">
        <f t="shared" si="2"/>
        <v>4035429.1707692291</v>
      </c>
      <c r="E12" s="44">
        <f t="shared" si="2"/>
        <v>4159599.4293807689</v>
      </c>
      <c r="F12" s="44">
        <f t="shared" si="2"/>
        <v>4232978.4982840028</v>
      </c>
      <c r="G12" s="44">
        <f t="shared" si="2"/>
        <v>4437513.2763065957</v>
      </c>
      <c r="H12" s="44">
        <f t="shared" si="2"/>
        <v>4959563.2473000893</v>
      </c>
      <c r="I12" s="44">
        <f t="shared" si="2"/>
        <v>5468274.5751780597</v>
      </c>
      <c r="J12" s="44">
        <f t="shared" si="2"/>
        <v>7038087.9632348511</v>
      </c>
    </row>
    <row r="13" spans="1:10" x14ac:dyDescent="0.6">
      <c r="A13" s="5" t="s">
        <v>230</v>
      </c>
      <c r="B13" s="44">
        <f>'Ann 4'!C36</f>
        <v>0</v>
      </c>
      <c r="C13" s="44">
        <f>'Ann 4'!D36</f>
        <v>638557.1230769211</v>
      </c>
      <c r="D13" s="44">
        <f>'Ann 4'!E36</f>
        <v>929174.40430768998</v>
      </c>
      <c r="E13" s="44">
        <f>'Ann 4'!F36</f>
        <v>1201953.62725846</v>
      </c>
      <c r="F13" s="44">
        <f>'Ann 4'!G36</f>
        <v>1456664.2369724335</v>
      </c>
      <c r="G13" s="44">
        <f>'Ann 4'!H36</f>
        <v>1353490.8976467</v>
      </c>
      <c r="H13" s="44">
        <f>'Ann 4'!I36</f>
        <v>1549703.6160780471</v>
      </c>
      <c r="I13" s="44">
        <f>'Ann 4'!J36</f>
        <v>1710683.9117813008</v>
      </c>
      <c r="J13" s="44">
        <f>'Ann 4'!K36</f>
        <v>1865166.2171293334</v>
      </c>
    </row>
    <row r="14" spans="1:10" x14ac:dyDescent="0.6">
      <c r="A14" s="5"/>
      <c r="B14" s="44">
        <f>B12-B13</f>
        <v>2798048.653846154</v>
      </c>
      <c r="C14" s="44">
        <f t="shared" ref="C14:J14" si="3">C12-C13</f>
        <v>3208061.0115384618</v>
      </c>
      <c r="D14" s="44">
        <f t="shared" si="3"/>
        <v>3106254.7664615391</v>
      </c>
      <c r="E14" s="44">
        <f t="shared" si="3"/>
        <v>2957645.8021223089</v>
      </c>
      <c r="F14" s="44">
        <f t="shared" si="3"/>
        <v>2776314.2613115693</v>
      </c>
      <c r="G14" s="44">
        <f t="shared" si="3"/>
        <v>3084022.3786598956</v>
      </c>
      <c r="H14" s="44">
        <f t="shared" si="3"/>
        <v>3409859.6312220423</v>
      </c>
      <c r="I14" s="44">
        <f t="shared" si="3"/>
        <v>3757590.663396759</v>
      </c>
      <c r="J14" s="44">
        <f t="shared" si="3"/>
        <v>5172921.7461055182</v>
      </c>
    </row>
    <row r="15" spans="1:10" x14ac:dyDescent="0.6">
      <c r="A15" s="5" t="s">
        <v>232</v>
      </c>
      <c r="B15" s="44">
        <f>SUM('Ann 13'!D9:D12)*100000</f>
        <v>553076.92307692312</v>
      </c>
      <c r="C15" s="44">
        <f>SUM('Ann 13'!D13:D16)*100000</f>
        <v>1106153.8461538462</v>
      </c>
      <c r="D15" s="44">
        <f>SUM('Ann 13'!D17:D20)*100000</f>
        <v>1106153.8461538462</v>
      </c>
      <c r="E15" s="44">
        <f>SUM('Ann 13'!D21:D24)*100000</f>
        <v>1106153.8461538462</v>
      </c>
      <c r="F15" s="44">
        <f>SUM('Ann 13'!D25:D28)*100000</f>
        <v>1106153.8461538462</v>
      </c>
      <c r="G15" s="44">
        <f>SUM('Ann 13'!D30:D33)*100000</f>
        <v>1106153.8461538462</v>
      </c>
      <c r="H15" s="44">
        <f>SUM('Ann 13'!D33:D36)*100000</f>
        <v>1106153.8461538423</v>
      </c>
      <c r="I15" s="44">
        <v>0</v>
      </c>
      <c r="J15" s="44">
        <v>0</v>
      </c>
    </row>
    <row r="16" spans="1:10" x14ac:dyDescent="0.6">
      <c r="A16" s="5" t="s">
        <v>233</v>
      </c>
      <c r="B16" s="44">
        <f>B14-B15</f>
        <v>2244971.730769231</v>
      </c>
      <c r="C16" s="44">
        <f>C14-C15</f>
        <v>2101907.1653846158</v>
      </c>
      <c r="D16" s="44">
        <f>D14-D15</f>
        <v>2000100.9203076928</v>
      </c>
      <c r="E16" s="44">
        <f t="shared" ref="E16:J16" si="4">E14-E15</f>
        <v>1851491.9559684626</v>
      </c>
      <c r="F16" s="44">
        <f t="shared" si="4"/>
        <v>1670160.415157723</v>
      </c>
      <c r="G16" s="44">
        <f t="shared" si="4"/>
        <v>1977868.5325060494</v>
      </c>
      <c r="H16" s="44">
        <f t="shared" si="4"/>
        <v>2303705.7850682</v>
      </c>
      <c r="I16" s="44">
        <f t="shared" si="4"/>
        <v>3757590.663396759</v>
      </c>
      <c r="J16" s="44">
        <f t="shared" si="4"/>
        <v>5172921.7461055182</v>
      </c>
    </row>
    <row r="18" spans="1:11" x14ac:dyDescent="0.6">
      <c r="A18" s="96" t="s">
        <v>248</v>
      </c>
      <c r="B18" s="97">
        <v>0.06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1:11" x14ac:dyDescent="0.6">
      <c r="A19" s="96" t="s">
        <v>249</v>
      </c>
      <c r="B19" s="96">
        <f>1/(1+$B$18)</f>
        <v>0.94339622641509424</v>
      </c>
      <c r="C19" s="96">
        <f>1/((1+$B$18)*(1+$B$18))</f>
        <v>0.88999644001423983</v>
      </c>
      <c r="D19" s="96">
        <f>1/((1+$B$18)*(1+$B$18)*(1+$B$18))</f>
        <v>0.8396192830323016</v>
      </c>
      <c r="E19" s="96">
        <f>1/((1+$B$18)*(1+$B$18)*(1+$B$18)*(1+$B$18))</f>
        <v>0.79209366323802044</v>
      </c>
      <c r="F19" s="96">
        <f>1/((1+$B$18)*(1+$B$18)*(1+$B$18)*(1+$B$18)*(1+$B$18))</f>
        <v>0.74725817286605689</v>
      </c>
      <c r="G19" s="96">
        <f>1/((1+$B$18)*(1+$B$18)*(1+$B$18)*(1+$B$18)*(1+$B$18)*(1+$B$18))</f>
        <v>0.70496054043967626</v>
      </c>
      <c r="H19" s="96">
        <f>1/((1+$B$18)*(1+$B$18)*(1+$B$18)*(1+$B$18)*(1+$B$18)*(1+$B$18)*(1+$B$18))</f>
        <v>0.6650571136223361</v>
      </c>
      <c r="I19" s="96">
        <f>1/((1+$B$18)*(1+$B$18)*(1+$B$18)*(1+$B$18)*(1+$B$18)*(1+$B$18)*(1+$B$18)*(1+$B$18))</f>
        <v>0.62741237134182648</v>
      </c>
      <c r="J19" s="96">
        <f>1/((1+$B$18)*(1+$B$18)*(1+$B$18)*(1+$B$18)*(1+$B$18)*(1+$B$18)*(1+$B$18)*(1+$B$18)*(1+$B$18))</f>
        <v>0.59189846353002495</v>
      </c>
      <c r="K19" s="96"/>
    </row>
    <row r="20" spans="1:11" x14ac:dyDescent="0.6">
      <c r="A20" s="96" t="s">
        <v>250</v>
      </c>
      <c r="B20" s="98">
        <f t="shared" ref="B20:J20" si="5">B4+B5+B7</f>
        <v>19900000</v>
      </c>
      <c r="C20" s="98">
        <f t="shared" si="5"/>
        <v>26703671.730769232</v>
      </c>
      <c r="D20" s="98">
        <f t="shared" si="5"/>
        <v>29627951.165384617</v>
      </c>
      <c r="E20" s="98">
        <f t="shared" si="5"/>
        <v>32686174.520307694</v>
      </c>
      <c r="F20" s="98">
        <f t="shared" si="5"/>
        <v>35906355.853568465</v>
      </c>
      <c r="G20" s="98">
        <f t="shared" si="5"/>
        <v>39314220.116405733</v>
      </c>
      <c r="H20" s="98">
        <f t="shared" si="5"/>
        <v>43443771.919457741</v>
      </c>
      <c r="I20" s="98">
        <f t="shared" si="5"/>
        <v>47836969.857057869</v>
      </c>
      <c r="J20" s="98">
        <f t="shared" si="5"/>
        <v>53617258.829808317</v>
      </c>
      <c r="K20" s="98"/>
    </row>
    <row r="21" spans="1:11" x14ac:dyDescent="0.6">
      <c r="A21" s="96" t="s">
        <v>251</v>
      </c>
      <c r="B21" s="98">
        <f>B19*B20</f>
        <v>18773584.905660376</v>
      </c>
      <c r="C21" s="98">
        <f t="shared" ref="C21:J21" si="6">C19*C20</f>
        <v>23766172.77569351</v>
      </c>
      <c r="D21" s="98">
        <f t="shared" si="6"/>
        <v>24876199.115196276</v>
      </c>
      <c r="E21" s="98">
        <f t="shared" si="6"/>
        <v>25890511.713027768</v>
      </c>
      <c r="F21" s="98">
        <f t="shared" si="6"/>
        <v>26831317.869416017</v>
      </c>
      <c r="G21" s="98">
        <f t="shared" si="6"/>
        <v>27714973.860225778</v>
      </c>
      <c r="H21" s="98">
        <f t="shared" si="6"/>
        <v>28892589.557621662</v>
      </c>
      <c r="I21" s="98">
        <f t="shared" si="6"/>
        <v>30013506.695824154</v>
      </c>
      <c r="J21" s="98">
        <f t="shared" si="6"/>
        <v>31735973.120055206</v>
      </c>
      <c r="K21" s="98"/>
    </row>
    <row r="22" spans="1:11" x14ac:dyDescent="0.6">
      <c r="A22" s="96" t="s">
        <v>252</v>
      </c>
      <c r="B22" s="98">
        <f t="shared" ref="B22:J22" si="7">B6+B8+B9+B11+B13+B15</f>
        <v>17655028.269230772</v>
      </c>
      <c r="C22" s="98">
        <f t="shared" si="7"/>
        <v>24601764.565384615</v>
      </c>
      <c r="D22" s="98">
        <f t="shared" si="7"/>
        <v>27627850.245076925</v>
      </c>
      <c r="E22" s="98">
        <f t="shared" si="7"/>
        <v>30834682.564339232</v>
      </c>
      <c r="F22" s="98">
        <f t="shared" si="7"/>
        <v>34236195.438410744</v>
      </c>
      <c r="G22" s="98">
        <f t="shared" si="7"/>
        <v>37336351.583899684</v>
      </c>
      <c r="H22" s="98">
        <f t="shared" si="7"/>
        <v>41140066.134389535</v>
      </c>
      <c r="I22" s="98">
        <f t="shared" si="7"/>
        <v>44079379.193661116</v>
      </c>
      <c r="J22" s="98">
        <f t="shared" si="7"/>
        <v>48444337.083702803</v>
      </c>
      <c r="K22" s="98"/>
    </row>
    <row r="23" spans="1:11" x14ac:dyDescent="0.6">
      <c r="A23" s="96" t="s">
        <v>253</v>
      </c>
      <c r="B23" s="98">
        <f>B22*B19</f>
        <v>16655687.046444122</v>
      </c>
      <c r="C23" s="98">
        <f t="shared" ref="C23:J23" si="8">C22*C19</f>
        <v>21895482.881260779</v>
      </c>
      <c r="D23" s="98">
        <f t="shared" si="8"/>
        <v>23196875.814495284</v>
      </c>
      <c r="E23" s="98">
        <f t="shared" si="8"/>
        <v>24423956.667168979</v>
      </c>
      <c r="F23" s="98">
        <f t="shared" si="8"/>
        <v>25583276.849192046</v>
      </c>
      <c r="G23" s="98">
        <f t="shared" si="8"/>
        <v>26320654.590631686</v>
      </c>
      <c r="H23" s="98">
        <f t="shared" si="8"/>
        <v>27360493.637569122</v>
      </c>
      <c r="I23" s="98">
        <f t="shared" si="8"/>
        <v>27655947.827170487</v>
      </c>
      <c r="J23" s="98">
        <f t="shared" si="8"/>
        <v>28674128.686574299</v>
      </c>
      <c r="K23" s="98"/>
    </row>
    <row r="24" spans="1:11" x14ac:dyDescent="0.6">
      <c r="A24" s="96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x14ac:dyDescent="0.6">
      <c r="A25" s="96" t="s">
        <v>254</v>
      </c>
      <c r="B25" s="98">
        <f t="shared" ref="B25:J26" si="9">B20-B22</f>
        <v>2244971.7307692282</v>
      </c>
      <c r="C25" s="98">
        <f t="shared" si="9"/>
        <v>2101907.1653846167</v>
      </c>
      <c r="D25" s="98">
        <f t="shared" si="9"/>
        <v>2000100.9203076921</v>
      </c>
      <c r="E25" s="98">
        <f t="shared" si="9"/>
        <v>1851491.9559684619</v>
      </c>
      <c r="F25" s="98">
        <f t="shared" si="9"/>
        <v>1670160.4151577204</v>
      </c>
      <c r="G25" s="98">
        <f t="shared" si="9"/>
        <v>1977868.5325060487</v>
      </c>
      <c r="H25" s="98">
        <f t="shared" si="9"/>
        <v>2303705.7850682065</v>
      </c>
      <c r="I25" s="98">
        <f t="shared" si="9"/>
        <v>3757590.6633967534</v>
      </c>
      <c r="J25" s="98">
        <f t="shared" si="9"/>
        <v>5172921.7461055145</v>
      </c>
      <c r="K25" s="98"/>
    </row>
    <row r="26" spans="1:11" x14ac:dyDescent="0.6">
      <c r="A26" s="96" t="s">
        <v>255</v>
      </c>
      <c r="B26" s="98">
        <f>B21-B23</f>
        <v>2117897.8592162542</v>
      </c>
      <c r="C26" s="98">
        <f t="shared" si="9"/>
        <v>1870689.894432731</v>
      </c>
      <c r="D26" s="98">
        <f t="shared" si="9"/>
        <v>1679323.3007009923</v>
      </c>
      <c r="E26" s="98">
        <f t="shared" si="9"/>
        <v>1466555.0458587892</v>
      </c>
      <c r="F26" s="98">
        <f t="shared" si="9"/>
        <v>1248041.0202239715</v>
      </c>
      <c r="G26" s="98">
        <f t="shared" si="9"/>
        <v>1394319.2695940919</v>
      </c>
      <c r="H26" s="98">
        <f t="shared" si="9"/>
        <v>1532095.9200525396</v>
      </c>
      <c r="I26" s="98">
        <f t="shared" si="9"/>
        <v>2357558.8686536662</v>
      </c>
      <c r="J26" s="98">
        <f t="shared" si="9"/>
        <v>3061844.4334809072</v>
      </c>
      <c r="K26" s="98">
        <f>SUM(B26:J26)</f>
        <v>16728325.612213943</v>
      </c>
    </row>
    <row r="27" spans="1:11" x14ac:dyDescent="0.6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7A23-F191-48E7-8B69-EACFF451C9DB}">
  <sheetPr>
    <pageSetUpPr fitToPage="1"/>
  </sheetPr>
  <dimension ref="A1:L11"/>
  <sheetViews>
    <sheetView workbookViewId="0">
      <selection activeCell="B4" sqref="B4"/>
    </sheetView>
  </sheetViews>
  <sheetFormatPr defaultRowHeight="17" x14ac:dyDescent="0.6"/>
  <cols>
    <col min="1" max="1" width="8.7265625" style="4"/>
    <col min="2" max="2" width="84" style="4" bestFit="1" customWidth="1"/>
    <col min="3" max="3" width="12.36328125" style="4" bestFit="1" customWidth="1"/>
    <col min="4" max="4" width="7.81640625" style="4" bestFit="1" customWidth="1"/>
    <col min="5" max="5" width="6.81640625" style="4" bestFit="1" customWidth="1"/>
    <col min="6" max="6" width="8.81640625" style="4" bestFit="1" customWidth="1"/>
    <col min="7" max="7" width="10.81640625" style="4" bestFit="1" customWidth="1"/>
    <col min="8" max="12" width="11.81640625" style="4" bestFit="1" customWidth="1"/>
    <col min="13" max="16384" width="8.7265625" style="4"/>
  </cols>
  <sheetData>
    <row r="1" spans="1:12" x14ac:dyDescent="0.6">
      <c r="A1" s="4" t="s">
        <v>275</v>
      </c>
      <c r="B1" s="4" t="s">
        <v>276</v>
      </c>
    </row>
    <row r="2" spans="1:12" x14ac:dyDescent="0.6">
      <c r="A2" s="4">
        <v>1</v>
      </c>
      <c r="B2" s="4" t="s">
        <v>277</v>
      </c>
    </row>
    <row r="3" spans="1:12" x14ac:dyDescent="0.6">
      <c r="A3" s="4">
        <v>2</v>
      </c>
      <c r="B3" s="4" t="s">
        <v>278</v>
      </c>
    </row>
    <row r="4" spans="1:12" x14ac:dyDescent="0.6">
      <c r="A4" s="4">
        <v>3</v>
      </c>
      <c r="B4" s="4" t="s">
        <v>279</v>
      </c>
    </row>
    <row r="5" spans="1:12" x14ac:dyDescent="0.6">
      <c r="A5" s="4">
        <v>4</v>
      </c>
      <c r="B5" s="4" t="s">
        <v>280</v>
      </c>
    </row>
    <row r="6" spans="1:12" x14ac:dyDescent="0.6">
      <c r="C6" s="4" t="s">
        <v>212</v>
      </c>
      <c r="D6" s="4">
        <v>95000</v>
      </c>
      <c r="E6" s="4">
        <f>D6*1.05</f>
        <v>99750</v>
      </c>
      <c r="F6" s="4">
        <f t="shared" ref="F6:L6" si="0">E6*1.05</f>
        <v>104737.5</v>
      </c>
      <c r="G6" s="4">
        <f t="shared" si="0"/>
        <v>109974.375</v>
      </c>
      <c r="H6" s="4">
        <f t="shared" si="0"/>
        <v>115473.09375</v>
      </c>
      <c r="I6" s="4">
        <f t="shared" si="0"/>
        <v>121246.74843750001</v>
      </c>
      <c r="J6" s="4">
        <f t="shared" si="0"/>
        <v>127309.08585937502</v>
      </c>
      <c r="K6" s="4">
        <f t="shared" si="0"/>
        <v>133674.54015234378</v>
      </c>
      <c r="L6" s="4">
        <f t="shared" si="0"/>
        <v>140358.26715996096</v>
      </c>
    </row>
    <row r="7" spans="1:12" x14ac:dyDescent="0.6">
      <c r="C7" s="4" t="s">
        <v>77</v>
      </c>
      <c r="D7" s="4">
        <f>D6*12</f>
        <v>1140000</v>
      </c>
      <c r="E7" s="4">
        <f t="shared" ref="E7:L7" si="1">E6*10</f>
        <v>997500</v>
      </c>
      <c r="F7" s="4">
        <f t="shared" si="1"/>
        <v>1047375</v>
      </c>
      <c r="G7" s="4">
        <f t="shared" si="1"/>
        <v>1099743.75</v>
      </c>
      <c r="H7" s="4">
        <f t="shared" si="1"/>
        <v>1154730.9375</v>
      </c>
      <c r="I7" s="4">
        <f t="shared" si="1"/>
        <v>1212467.484375</v>
      </c>
      <c r="J7" s="4">
        <f t="shared" si="1"/>
        <v>1273090.8585937503</v>
      </c>
      <c r="K7" s="4">
        <f t="shared" si="1"/>
        <v>1336745.4015234378</v>
      </c>
      <c r="L7" s="4">
        <f t="shared" si="1"/>
        <v>1403582.6715996095</v>
      </c>
    </row>
    <row r="8" spans="1:12" x14ac:dyDescent="0.6">
      <c r="A8" s="4">
        <v>5</v>
      </c>
      <c r="B8" s="4" t="s">
        <v>281</v>
      </c>
    </row>
    <row r="9" spans="1:12" x14ac:dyDescent="0.6">
      <c r="A9" s="4">
        <v>6</v>
      </c>
      <c r="B9" s="4" t="s">
        <v>282</v>
      </c>
    </row>
    <row r="10" spans="1:12" x14ac:dyDescent="0.6">
      <c r="A10" s="4">
        <v>7</v>
      </c>
      <c r="B10" s="4" t="s">
        <v>283</v>
      </c>
    </row>
    <row r="11" spans="1:12" x14ac:dyDescent="0.6">
      <c r="A11" s="4">
        <v>8</v>
      </c>
      <c r="B11" s="4" t="s">
        <v>284</v>
      </c>
    </row>
  </sheetData>
  <pageMargins left="0.7" right="0.7" top="0.75" bottom="0.75" header="0.3" footer="0.3"/>
  <pageSetup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6E60-84BC-48F8-81DA-B263E1778918}"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</row>
    <row r="3" spans="1:10" x14ac:dyDescent="0.35">
      <c r="A3" t="s">
        <v>242</v>
      </c>
      <c r="B3" s="1">
        <f>'Ann 4'!C22/100000</f>
        <v>210</v>
      </c>
      <c r="C3" s="1">
        <f>'Ann 4'!D22/100000</f>
        <v>248.43</v>
      </c>
      <c r="D3" s="1">
        <f>'Ann 4'!E22/100000</f>
        <v>278.24160000000001</v>
      </c>
      <c r="E3" s="1">
        <f>'Ann 4'!F22/100000</f>
        <v>310.04064</v>
      </c>
      <c r="F3" s="1">
        <f>'Ann 4'!G22/100000</f>
        <v>343.93841664000007</v>
      </c>
      <c r="G3" s="1">
        <f>'Ann 4'!H22/100000</f>
        <v>380.05195038720012</v>
      </c>
      <c r="H3" s="1">
        <f>'Ann 4'!I22/100000</f>
        <v>418.50426536755214</v>
      </c>
      <c r="I3" s="1">
        <f>'Ann 4'!J22/100000</f>
        <v>459.42468242571277</v>
      </c>
      <c r="J3" s="1">
        <f>'Ann 4'!K22/100000</f>
        <v>502.94912602393805</v>
      </c>
    </row>
    <row r="4" spans="1:10" x14ac:dyDescent="0.35">
      <c r="A4" t="s">
        <v>243</v>
      </c>
      <c r="B4" s="1">
        <f>'Ann 4'!C21/100000</f>
        <v>197.99250000000001</v>
      </c>
      <c r="C4" s="1">
        <f>'Ann 4'!D21/100000</f>
        <v>222.67892500000005</v>
      </c>
      <c r="D4" s="1">
        <f>'Ann 4'!E21/100000</f>
        <v>249.33667300000005</v>
      </c>
      <c r="E4" s="1">
        <f>'Ann 4'!F21/100000</f>
        <v>278.10161025500003</v>
      </c>
      <c r="F4" s="1">
        <f>'Ann 4'!G21/100000</f>
        <v>309.1182665828</v>
      </c>
      <c r="G4" s="1">
        <f>'Ann 4'!H21/100000</f>
        <v>348.5966123533305</v>
      </c>
      <c r="H4" s="1">
        <f>'Ann 4'!I21/100000</f>
        <v>384.94386653577038</v>
      </c>
      <c r="I4" s="1">
        <f>'Ann 4'!J21/100000</f>
        <v>424.03383759282127</v>
      </c>
      <c r="J4" s="1">
        <f>'Ann 4'!K21/100000</f>
        <v>465.3387991128655</v>
      </c>
    </row>
    <row r="5" spans="1:10" x14ac:dyDescent="0.35">
      <c r="A5" t="s">
        <v>244</v>
      </c>
      <c r="B5" s="1">
        <f>B3-B4</f>
        <v>12.007499999999993</v>
      </c>
      <c r="C5" s="1">
        <f t="shared" ref="C5:J5" si="0">C3-C4</f>
        <v>25.751074999999958</v>
      </c>
      <c r="D5" s="1">
        <f t="shared" si="0"/>
        <v>28.904926999999958</v>
      </c>
      <c r="E5" s="1">
        <f t="shared" si="0"/>
        <v>31.939029744999971</v>
      </c>
      <c r="F5" s="1">
        <f t="shared" si="0"/>
        <v>34.820150057200067</v>
      </c>
      <c r="G5" s="1">
        <f t="shared" si="0"/>
        <v>31.455338033869623</v>
      </c>
      <c r="H5" s="1">
        <f t="shared" si="0"/>
        <v>33.560398831781754</v>
      </c>
      <c r="I5" s="1">
        <f t="shared" si="0"/>
        <v>35.390844832891503</v>
      </c>
      <c r="J5" s="1">
        <f t="shared" si="0"/>
        <v>37.610326911072548</v>
      </c>
    </row>
    <row r="6" spans="1:10" x14ac:dyDescent="0.35">
      <c r="A6" t="s">
        <v>245</v>
      </c>
      <c r="B6" s="1">
        <f>B5</f>
        <v>12.007499999999993</v>
      </c>
      <c r="C6" s="1">
        <f t="shared" ref="C6:J6" si="1">C5</f>
        <v>25.751074999999958</v>
      </c>
      <c r="D6" s="1">
        <f t="shared" si="1"/>
        <v>28.904926999999958</v>
      </c>
      <c r="E6" s="1">
        <f t="shared" si="1"/>
        <v>31.939029744999971</v>
      </c>
      <c r="F6" s="1">
        <f t="shared" si="1"/>
        <v>34.820150057200067</v>
      </c>
      <c r="G6" s="1">
        <f t="shared" si="1"/>
        <v>31.455338033869623</v>
      </c>
      <c r="H6" s="1">
        <f t="shared" si="1"/>
        <v>33.560398831781754</v>
      </c>
      <c r="I6" s="1">
        <f t="shared" si="1"/>
        <v>35.390844832891503</v>
      </c>
      <c r="J6" s="1">
        <f t="shared" si="1"/>
        <v>37.610326911072548</v>
      </c>
    </row>
    <row r="7" spans="1:10" x14ac:dyDescent="0.35">
      <c r="A7" t="s">
        <v>246</v>
      </c>
      <c r="B7" s="2">
        <f>'Ann 4'!C33/100000</f>
        <v>-5.4850192307692298</v>
      </c>
      <c r="C7" s="2">
        <f>'Ann 4'!D33/100000</f>
        <v>11.402805769230733</v>
      </c>
      <c r="D7" s="2">
        <f>'Ann 4'!E33/100000</f>
        <v>16.592400076923035</v>
      </c>
      <c r="E7" s="2">
        <f>'Ann 4'!F33/100000</f>
        <v>21.463457629615355</v>
      </c>
      <c r="F7" s="2">
        <f>'Ann 4'!G33/100000</f>
        <v>26.011861374507738</v>
      </c>
      <c r="G7" s="2">
        <f>'Ann 4'!H33/100000</f>
        <v>24.169480315119642</v>
      </c>
      <c r="H7" s="2">
        <f>'Ann 4'!I33/100000</f>
        <v>27.673278858536555</v>
      </c>
      <c r="I7" s="2">
        <f>'Ann 4'!J33/100000</f>
        <v>30.547926996094649</v>
      </c>
      <c r="J7" s="2">
        <f>'Ann 4'!K33/100000</f>
        <v>33.306539591595239</v>
      </c>
    </row>
    <row r="8" spans="1:10" x14ac:dyDescent="0.35">
      <c r="A8" t="s">
        <v>247</v>
      </c>
      <c r="B8" s="2">
        <f>'Ann 4'!C35/100000</f>
        <v>-4.1395134615384617</v>
      </c>
      <c r="C8" s="2">
        <f>'Ann 4'!D35/100000</f>
        <v>7.9819640384615127</v>
      </c>
      <c r="D8" s="2">
        <f>'Ann 4'!E35/100000</f>
        <v>11.614680053846124</v>
      </c>
      <c r="E8" s="2">
        <f>'Ann 4'!F35/100000</f>
        <v>15.024420340730751</v>
      </c>
      <c r="F8" s="2">
        <f>'Ann 4'!G35/100000</f>
        <v>18.208302962155418</v>
      </c>
      <c r="G8" s="2">
        <f>'Ann 4'!H35/100000</f>
        <v>16.91863622058375</v>
      </c>
      <c r="H8" s="2">
        <f>'Ann 4'!I35/100000</f>
        <v>19.371295200975588</v>
      </c>
      <c r="I8" s="2">
        <f>'Ann 4'!J35/100000</f>
        <v>21.383548897266259</v>
      </c>
      <c r="J8" s="2">
        <f>'Ann 4'!K35/100000</f>
        <v>23.314577714116666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155</v>
      </c>
    </row>
    <row r="2" spans="1:11" x14ac:dyDescent="0.35"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</row>
    <row r="3" spans="1:11" x14ac:dyDescent="0.35">
      <c r="A3" t="s">
        <v>156</v>
      </c>
      <c r="C3">
        <f>'Ann 4'!C22/300*270</f>
        <v>18900000</v>
      </c>
      <c r="D3">
        <f>'Ann 4'!D22/300*270</f>
        <v>22358700</v>
      </c>
      <c r="E3">
        <f>'Ann 4'!E22/300*270</f>
        <v>25041744</v>
      </c>
      <c r="F3">
        <f>'Ann 4'!F22/300*270</f>
        <v>27903657.600000001</v>
      </c>
      <c r="G3">
        <f>'Ann 4'!G22/300*270</f>
        <v>30954457.497600004</v>
      </c>
      <c r="H3">
        <f>'Ann 4'!H22/300*270</f>
        <v>34204675.534848012</v>
      </c>
      <c r="I3">
        <f>'Ann 4'!I22/300*270</f>
        <v>37665383.883079693</v>
      </c>
      <c r="J3">
        <f>'Ann 4'!J22/300*270</f>
        <v>41348221.418314151</v>
      </c>
      <c r="K3">
        <f>'Ann 4'!K22/300*270</f>
        <v>45265421.342154421</v>
      </c>
    </row>
    <row r="4" spans="1:11" x14ac:dyDescent="0.35">
      <c r="A4" t="s">
        <v>157</v>
      </c>
      <c r="C4">
        <v>5000000</v>
      </c>
    </row>
    <row r="5" spans="1:11" x14ac:dyDescent="0.35">
      <c r="A5" t="s">
        <v>158</v>
      </c>
      <c r="C5">
        <v>21492978</v>
      </c>
    </row>
    <row r="7" spans="1:11" x14ac:dyDescent="0.35">
      <c r="A7" t="s">
        <v>159</v>
      </c>
      <c r="C7">
        <f>'Ann 3'!F19</f>
        <v>8000000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sheetPr>
    <pageSetUpPr fitToPage="1"/>
  </sheetPr>
  <dimension ref="A1:C42"/>
  <sheetViews>
    <sheetView workbookViewId="0"/>
  </sheetViews>
  <sheetFormatPr defaultRowHeight="17" x14ac:dyDescent="0.6"/>
  <cols>
    <col min="1" max="1" width="8.7265625" style="4"/>
    <col min="2" max="2" width="44.90625" style="4" customWidth="1"/>
    <col min="3" max="3" width="13.26953125" style="4" customWidth="1"/>
    <col min="4" max="16384" width="8.7265625" style="4"/>
  </cols>
  <sheetData>
    <row r="1" spans="1:3" x14ac:dyDescent="0.6">
      <c r="A1" s="3" t="s">
        <v>300</v>
      </c>
    </row>
    <row r="3" spans="1:3" x14ac:dyDescent="0.6">
      <c r="A3" s="3" t="s">
        <v>0</v>
      </c>
    </row>
    <row r="5" spans="1:3" x14ac:dyDescent="0.6">
      <c r="A5" s="20" t="s">
        <v>1</v>
      </c>
      <c r="B5" s="21"/>
      <c r="C5" s="22"/>
    </row>
    <row r="6" spans="1:3" ht="34" x14ac:dyDescent="0.6">
      <c r="A6" s="23" t="s">
        <v>2</v>
      </c>
      <c r="B6" s="23" t="s">
        <v>3</v>
      </c>
      <c r="C6" s="24" t="s">
        <v>4</v>
      </c>
    </row>
    <row r="7" spans="1:3" x14ac:dyDescent="0.6">
      <c r="A7" s="9">
        <v>1</v>
      </c>
      <c r="B7" s="10" t="s">
        <v>6</v>
      </c>
      <c r="C7" s="11"/>
    </row>
    <row r="8" spans="1:3" x14ac:dyDescent="0.6">
      <c r="A8" s="9" t="s">
        <v>5</v>
      </c>
      <c r="B8" s="10" t="s">
        <v>7</v>
      </c>
      <c r="C8" s="12">
        <v>0</v>
      </c>
    </row>
    <row r="9" spans="1:3" x14ac:dyDescent="0.6">
      <c r="A9" s="9"/>
      <c r="B9" s="10" t="s">
        <v>8</v>
      </c>
      <c r="C9" s="12">
        <f>SUM(C8)</f>
        <v>0</v>
      </c>
    </row>
    <row r="10" spans="1:3" x14ac:dyDescent="0.6">
      <c r="A10" s="9"/>
      <c r="B10" s="10"/>
      <c r="C10" s="11"/>
    </row>
    <row r="11" spans="1:3" x14ac:dyDescent="0.6">
      <c r="A11" s="9">
        <v>2</v>
      </c>
      <c r="B11" s="10" t="s">
        <v>183</v>
      </c>
      <c r="C11" s="11">
        <f>'Ann 3'!F7/100000</f>
        <v>15.6</v>
      </c>
    </row>
    <row r="12" spans="1:3" x14ac:dyDescent="0.6">
      <c r="A12" s="9" t="s">
        <v>5</v>
      </c>
      <c r="B12" s="10" t="s">
        <v>8</v>
      </c>
      <c r="C12" s="11">
        <f>C11</f>
        <v>15.6</v>
      </c>
    </row>
    <row r="13" spans="1:3" x14ac:dyDescent="0.6">
      <c r="A13" s="9"/>
      <c r="B13" s="10"/>
      <c r="C13" s="11"/>
    </row>
    <row r="14" spans="1:3" x14ac:dyDescent="0.6">
      <c r="A14" s="9">
        <v>3</v>
      </c>
      <c r="B14" s="10" t="s">
        <v>9</v>
      </c>
      <c r="C14" s="11"/>
    </row>
    <row r="15" spans="1:3" x14ac:dyDescent="0.6">
      <c r="A15" s="9" t="s">
        <v>5</v>
      </c>
      <c r="B15" s="10" t="s">
        <v>9</v>
      </c>
      <c r="C15" s="13">
        <v>0</v>
      </c>
    </row>
    <row r="16" spans="1:3" x14ac:dyDescent="0.6">
      <c r="A16" s="9"/>
      <c r="B16" s="10" t="s">
        <v>8</v>
      </c>
      <c r="C16" s="13">
        <f>C15</f>
        <v>0</v>
      </c>
    </row>
    <row r="17" spans="1:3" x14ac:dyDescent="0.6">
      <c r="A17" s="9"/>
      <c r="B17" s="10"/>
      <c r="C17" s="11"/>
    </row>
    <row r="18" spans="1:3" x14ac:dyDescent="0.6">
      <c r="A18" s="9">
        <v>4</v>
      </c>
      <c r="B18" s="10" t="s">
        <v>10</v>
      </c>
      <c r="C18" s="11"/>
    </row>
    <row r="19" spans="1:3" x14ac:dyDescent="0.6">
      <c r="A19" s="9" t="s">
        <v>5</v>
      </c>
      <c r="B19" s="10" t="s">
        <v>11</v>
      </c>
      <c r="C19" s="13">
        <f>'Ann 3'!F17/100000</f>
        <v>64.400000000000006</v>
      </c>
    </row>
    <row r="20" spans="1:3" x14ac:dyDescent="0.6">
      <c r="A20" s="9"/>
      <c r="B20" s="10" t="s">
        <v>8</v>
      </c>
      <c r="C20" s="14">
        <f>C19</f>
        <v>64.400000000000006</v>
      </c>
    </row>
    <row r="21" spans="1:3" x14ac:dyDescent="0.6">
      <c r="A21" s="9"/>
      <c r="B21" s="10"/>
      <c r="C21" s="11"/>
    </row>
    <row r="22" spans="1:3" x14ac:dyDescent="0.6">
      <c r="A22" s="9">
        <v>5</v>
      </c>
      <c r="B22" s="10" t="s">
        <v>12</v>
      </c>
      <c r="C22" s="11"/>
    </row>
    <row r="23" spans="1:3" x14ac:dyDescent="0.6">
      <c r="A23" s="9" t="s">
        <v>5</v>
      </c>
      <c r="B23" s="10" t="s">
        <v>13</v>
      </c>
      <c r="C23" s="12">
        <v>0</v>
      </c>
    </row>
    <row r="24" spans="1:3" x14ac:dyDescent="0.6">
      <c r="A24" s="9"/>
      <c r="B24" s="10"/>
      <c r="C24" s="12"/>
    </row>
    <row r="25" spans="1:3" x14ac:dyDescent="0.6">
      <c r="A25" s="9">
        <v>6</v>
      </c>
      <c r="B25" s="10" t="s">
        <v>14</v>
      </c>
      <c r="C25" s="12">
        <v>10</v>
      </c>
    </row>
    <row r="26" spans="1:3" x14ac:dyDescent="0.6">
      <c r="A26" s="9"/>
      <c r="B26" s="10"/>
      <c r="C26" s="12"/>
    </row>
    <row r="27" spans="1:3" x14ac:dyDescent="0.6">
      <c r="A27" s="9">
        <v>7</v>
      </c>
      <c r="B27" s="10" t="s">
        <v>15</v>
      </c>
      <c r="C27" s="12"/>
    </row>
    <row r="28" spans="1:3" x14ac:dyDescent="0.6">
      <c r="A28" s="9" t="s">
        <v>5</v>
      </c>
      <c r="B28" s="10" t="s">
        <v>16</v>
      </c>
      <c r="C28" s="12">
        <v>0</v>
      </c>
    </row>
    <row r="29" spans="1:3" x14ac:dyDescent="0.6">
      <c r="A29" s="9"/>
      <c r="B29" s="10" t="s">
        <v>8</v>
      </c>
      <c r="C29" s="12"/>
    </row>
    <row r="30" spans="1:3" x14ac:dyDescent="0.6">
      <c r="A30" s="9"/>
      <c r="B30" s="10"/>
      <c r="C30" s="12"/>
    </row>
    <row r="31" spans="1:3" x14ac:dyDescent="0.6">
      <c r="A31" s="9">
        <v>8</v>
      </c>
      <c r="B31" s="10" t="s">
        <v>17</v>
      </c>
      <c r="C31" s="11"/>
    </row>
    <row r="32" spans="1:3" ht="34" x14ac:dyDescent="0.6">
      <c r="A32" s="9"/>
      <c r="B32" s="15" t="s">
        <v>18</v>
      </c>
      <c r="C32" s="11"/>
    </row>
    <row r="33" spans="1:3" x14ac:dyDescent="0.6">
      <c r="A33" s="9" t="s">
        <v>5</v>
      </c>
      <c r="B33" s="10" t="s">
        <v>19</v>
      </c>
      <c r="C33" s="12">
        <v>1</v>
      </c>
    </row>
    <row r="34" spans="1:3" x14ac:dyDescent="0.6">
      <c r="A34" s="9" t="s">
        <v>20</v>
      </c>
      <c r="B34" s="10" t="s">
        <v>21</v>
      </c>
      <c r="C34" s="12">
        <v>0</v>
      </c>
    </row>
    <row r="35" spans="1:3" x14ac:dyDescent="0.6">
      <c r="A35" s="9"/>
      <c r="B35" s="10" t="s">
        <v>8</v>
      </c>
      <c r="C35" s="12">
        <f>SUM(C33:C34)</f>
        <v>1</v>
      </c>
    </row>
    <row r="36" spans="1:3" x14ac:dyDescent="0.6">
      <c r="A36" s="9"/>
      <c r="B36" s="10"/>
      <c r="C36" s="12"/>
    </row>
    <row r="37" spans="1:3" x14ac:dyDescent="0.6">
      <c r="A37" s="9">
        <v>9</v>
      </c>
      <c r="B37" s="10" t="s">
        <v>182</v>
      </c>
      <c r="C37" s="12"/>
    </row>
    <row r="38" spans="1:3" x14ac:dyDescent="0.6">
      <c r="A38" s="9"/>
      <c r="B38" s="10"/>
      <c r="C38" s="11"/>
    </row>
    <row r="39" spans="1:3" x14ac:dyDescent="0.6">
      <c r="A39" s="16"/>
      <c r="B39" s="17" t="s">
        <v>22</v>
      </c>
      <c r="C39" s="18">
        <f>C35+C28+C25+C20+C16+C23+C37+C12</f>
        <v>91</v>
      </c>
    </row>
    <row r="40" spans="1:3" x14ac:dyDescent="0.6">
      <c r="A40" s="19"/>
    </row>
    <row r="41" spans="1:3" x14ac:dyDescent="0.6">
      <c r="A41" s="19"/>
    </row>
    <row r="42" spans="1:3" x14ac:dyDescent="0.6">
      <c r="A42" s="19"/>
    </row>
  </sheetData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/>
  </sheetViews>
  <sheetFormatPr defaultRowHeight="17" x14ac:dyDescent="0.6"/>
  <cols>
    <col min="1" max="1" width="8.7265625" style="4"/>
    <col min="2" max="2" width="22.08984375" style="4" customWidth="1"/>
    <col min="3" max="3" width="18.81640625" style="4" bestFit="1" customWidth="1"/>
    <col min="4" max="16384" width="8.7265625" style="4"/>
  </cols>
  <sheetData>
    <row r="1" spans="1:4" x14ac:dyDescent="0.6">
      <c r="A1" s="3" t="s">
        <v>23</v>
      </c>
    </row>
    <row r="3" spans="1:4" x14ac:dyDescent="0.6">
      <c r="A3" s="33" t="s">
        <v>24</v>
      </c>
      <c r="B3" s="21" t="s">
        <v>25</v>
      </c>
      <c r="C3" s="22" t="s">
        <v>4</v>
      </c>
    </row>
    <row r="4" spans="1:4" x14ac:dyDescent="0.6">
      <c r="A4" s="25">
        <v>1</v>
      </c>
      <c r="B4" s="26" t="s">
        <v>26</v>
      </c>
      <c r="C4" s="14">
        <f>C8*10%</f>
        <v>9.1</v>
      </c>
      <c r="D4" s="27"/>
    </row>
    <row r="5" spans="1:4" x14ac:dyDescent="0.6">
      <c r="A5" s="25">
        <v>2</v>
      </c>
      <c r="B5" s="26" t="s">
        <v>27</v>
      </c>
      <c r="C5" s="14">
        <v>0</v>
      </c>
      <c r="D5" s="28"/>
    </row>
    <row r="6" spans="1:4" x14ac:dyDescent="0.6">
      <c r="A6" s="25">
        <v>3</v>
      </c>
      <c r="B6" s="26" t="s">
        <v>28</v>
      </c>
      <c r="C6" s="14">
        <f>C8-C4-C7</f>
        <v>71.900000000000006</v>
      </c>
    </row>
    <row r="7" spans="1:4" x14ac:dyDescent="0.6">
      <c r="A7" s="25">
        <v>4</v>
      </c>
      <c r="B7" s="26" t="s">
        <v>29</v>
      </c>
      <c r="C7" s="12">
        <v>10</v>
      </c>
      <c r="D7" s="29"/>
    </row>
    <row r="8" spans="1:4" x14ac:dyDescent="0.6">
      <c r="A8" s="30"/>
      <c r="B8" s="31" t="s">
        <v>8</v>
      </c>
      <c r="C8" s="32">
        <f>'Ann 1'!C39</f>
        <v>91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22"/>
  <sheetViews>
    <sheetView topLeftCell="A3" workbookViewId="0">
      <selection activeCell="C18" sqref="C18"/>
    </sheetView>
  </sheetViews>
  <sheetFormatPr defaultRowHeight="17" x14ac:dyDescent="0.6"/>
  <cols>
    <col min="1" max="1" width="3.6328125" style="4" customWidth="1"/>
    <col min="2" max="2" width="26.08984375" style="4" customWidth="1"/>
    <col min="3" max="3" width="8.7265625" style="4"/>
    <col min="4" max="4" width="15.6328125" style="4" bestFit="1" customWidth="1"/>
    <col min="5" max="5" width="8.7265625" style="4"/>
    <col min="6" max="6" width="11" style="4" bestFit="1" customWidth="1"/>
    <col min="7" max="7" width="10.26953125" style="4" bestFit="1" customWidth="1"/>
    <col min="8" max="16384" width="8.7265625" style="4"/>
  </cols>
  <sheetData>
    <row r="1" spans="1:7" x14ac:dyDescent="0.6">
      <c r="A1" s="3" t="s">
        <v>30</v>
      </c>
    </row>
    <row r="3" spans="1:7" x14ac:dyDescent="0.6">
      <c r="A3" s="41" t="s">
        <v>31</v>
      </c>
      <c r="B3" s="42"/>
      <c r="C3" s="42"/>
      <c r="D3" s="42"/>
      <c r="E3" s="42"/>
      <c r="F3" s="43"/>
    </row>
    <row r="4" spans="1:7" x14ac:dyDescent="0.6">
      <c r="A4" s="33" t="s">
        <v>32</v>
      </c>
      <c r="B4" s="21"/>
      <c r="C4" s="21"/>
      <c r="D4" s="21"/>
      <c r="E4" s="21"/>
      <c r="F4" s="22" t="s">
        <v>35</v>
      </c>
    </row>
    <row r="5" spans="1:7" x14ac:dyDescent="0.6">
      <c r="A5" s="25">
        <v>1</v>
      </c>
      <c r="B5" s="26" t="s">
        <v>184</v>
      </c>
      <c r="C5" s="26"/>
      <c r="D5" s="34"/>
      <c r="E5" s="34"/>
      <c r="F5" s="35">
        <v>360000</v>
      </c>
    </row>
    <row r="6" spans="1:7" x14ac:dyDescent="0.6">
      <c r="A6" s="25">
        <v>2</v>
      </c>
      <c r="B6" s="26" t="s">
        <v>292</v>
      </c>
      <c r="C6" s="26"/>
      <c r="D6" s="34"/>
      <c r="E6" s="34"/>
      <c r="F6" s="35">
        <f>3000*400</f>
        <v>1200000</v>
      </c>
    </row>
    <row r="7" spans="1:7" s="3" customFormat="1" x14ac:dyDescent="0.6">
      <c r="A7" s="36" t="s">
        <v>36</v>
      </c>
      <c r="B7" s="37"/>
      <c r="C7" s="37"/>
      <c r="D7" s="37"/>
      <c r="E7" s="37"/>
      <c r="F7" s="38">
        <f>SUM(F5:F6)</f>
        <v>1560000</v>
      </c>
    </row>
    <row r="8" spans="1:7" x14ac:dyDescent="0.6">
      <c r="A8" s="25"/>
      <c r="B8" s="26"/>
      <c r="C8" s="26"/>
      <c r="D8" s="26"/>
      <c r="E8" s="26"/>
      <c r="F8" s="11"/>
    </row>
    <row r="9" spans="1:7" x14ac:dyDescent="0.6">
      <c r="A9" s="33" t="s">
        <v>37</v>
      </c>
      <c r="B9" s="21"/>
      <c r="C9" s="21"/>
      <c r="D9" s="21" t="s">
        <v>33</v>
      </c>
      <c r="E9" s="21" t="s">
        <v>34</v>
      </c>
      <c r="F9" s="22" t="s">
        <v>35</v>
      </c>
    </row>
    <row r="10" spans="1:7" x14ac:dyDescent="0.6">
      <c r="A10" s="25">
        <v>1</v>
      </c>
      <c r="B10" s="26" t="s">
        <v>185</v>
      </c>
      <c r="C10" s="26"/>
      <c r="D10" s="34" t="s">
        <v>288</v>
      </c>
      <c r="E10" s="34">
        <v>1</v>
      </c>
      <c r="F10" s="35">
        <v>3500000</v>
      </c>
      <c r="G10" s="39"/>
    </row>
    <row r="11" spans="1:7" x14ac:dyDescent="0.6">
      <c r="A11" s="25">
        <v>2</v>
      </c>
      <c r="B11" s="26" t="s">
        <v>186</v>
      </c>
      <c r="C11" s="26"/>
      <c r="D11" s="34" t="s">
        <v>187</v>
      </c>
      <c r="E11" s="34">
        <v>1</v>
      </c>
      <c r="F11" s="35">
        <v>200000</v>
      </c>
    </row>
    <row r="12" spans="1:7" x14ac:dyDescent="0.6">
      <c r="A12" s="25">
        <v>4</v>
      </c>
      <c r="B12" s="26" t="s">
        <v>287</v>
      </c>
      <c r="C12" s="26"/>
      <c r="D12" s="34"/>
      <c r="E12" s="34">
        <v>2</v>
      </c>
      <c r="F12" s="35">
        <f>200000*E12</f>
        <v>400000</v>
      </c>
    </row>
    <row r="13" spans="1:7" x14ac:dyDescent="0.6">
      <c r="A13" s="25">
        <v>5</v>
      </c>
      <c r="B13" s="26" t="s">
        <v>289</v>
      </c>
      <c r="C13" s="26"/>
      <c r="D13" s="34"/>
      <c r="E13" s="34"/>
      <c r="F13" s="35">
        <v>800000</v>
      </c>
    </row>
    <row r="14" spans="1:7" x14ac:dyDescent="0.6">
      <c r="A14" s="25">
        <v>6</v>
      </c>
      <c r="B14" s="26" t="s">
        <v>290</v>
      </c>
      <c r="C14" s="26"/>
      <c r="D14" s="34"/>
      <c r="E14" s="34"/>
      <c r="F14" s="35">
        <v>300000</v>
      </c>
    </row>
    <row r="15" spans="1:7" x14ac:dyDescent="0.6">
      <c r="A15" s="25">
        <v>7</v>
      </c>
      <c r="B15" s="26" t="s">
        <v>291</v>
      </c>
      <c r="C15" s="26"/>
      <c r="D15" s="34"/>
      <c r="E15" s="34"/>
      <c r="F15" s="35">
        <v>1000000</v>
      </c>
    </row>
    <row r="16" spans="1:7" x14ac:dyDescent="0.6">
      <c r="A16" s="25"/>
      <c r="B16" s="26" t="s">
        <v>293</v>
      </c>
      <c r="C16" s="26"/>
      <c r="D16" s="34"/>
      <c r="E16" s="34"/>
      <c r="F16" s="35">
        <v>240000</v>
      </c>
    </row>
    <row r="17" spans="1:6" s="3" customFormat="1" x14ac:dyDescent="0.6">
      <c r="A17" s="36" t="s">
        <v>38</v>
      </c>
      <c r="B17" s="37"/>
      <c r="C17" s="37"/>
      <c r="D17" s="37"/>
      <c r="E17" s="37"/>
      <c r="F17" s="38">
        <f>SUM(F10:F16)</f>
        <v>6440000</v>
      </c>
    </row>
    <row r="18" spans="1:6" x14ac:dyDescent="0.6">
      <c r="A18" s="25"/>
      <c r="B18" s="26"/>
      <c r="C18" s="26"/>
      <c r="D18" s="26"/>
      <c r="E18" s="26"/>
      <c r="F18" s="11"/>
    </row>
    <row r="19" spans="1:6" s="3" customFormat="1" x14ac:dyDescent="0.6">
      <c r="A19" s="36" t="s">
        <v>39</v>
      </c>
      <c r="B19" s="37"/>
      <c r="C19" s="37"/>
      <c r="D19" s="37"/>
      <c r="E19" s="37"/>
      <c r="F19" s="38">
        <f>F17+F7</f>
        <v>8000000</v>
      </c>
    </row>
    <row r="20" spans="1:6" x14ac:dyDescent="0.6">
      <c r="F20" s="39"/>
    </row>
    <row r="21" spans="1:6" x14ac:dyDescent="0.6">
      <c r="A21" s="4" t="s">
        <v>188</v>
      </c>
      <c r="F21" s="40"/>
    </row>
    <row r="22" spans="1:6" x14ac:dyDescent="0.6">
      <c r="F22" s="4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6"/>
  <sheetViews>
    <sheetView workbookViewId="0">
      <selection activeCell="B30" sqref="B30"/>
    </sheetView>
  </sheetViews>
  <sheetFormatPr defaultRowHeight="17" x14ac:dyDescent="0.6"/>
  <cols>
    <col min="1" max="1" width="8.7265625" style="4"/>
    <col min="2" max="2" width="54.1796875" style="4" bestFit="1" customWidth="1"/>
    <col min="3" max="11" width="15.6328125" style="4" bestFit="1" customWidth="1"/>
    <col min="12" max="16384" width="8.7265625" style="4"/>
  </cols>
  <sheetData>
    <row r="1" spans="1:11" x14ac:dyDescent="0.6">
      <c r="A1" s="3" t="s">
        <v>40</v>
      </c>
    </row>
    <row r="3" spans="1:11" x14ac:dyDescent="0.6">
      <c r="A3" s="100" t="s">
        <v>41</v>
      </c>
      <c r="B3" s="101" t="s">
        <v>42</v>
      </c>
      <c r="C3" s="100" t="s">
        <v>52</v>
      </c>
      <c r="D3" s="100"/>
      <c r="E3" s="100"/>
      <c r="F3" s="100"/>
      <c r="G3" s="100"/>
      <c r="H3" s="100"/>
      <c r="I3" s="100"/>
      <c r="J3" s="100"/>
      <c r="K3" s="100"/>
    </row>
    <row r="4" spans="1:11" x14ac:dyDescent="0.6">
      <c r="A4" s="100"/>
      <c r="B4" s="102"/>
      <c r="C4" s="46" t="s">
        <v>43</v>
      </c>
      <c r="D4" s="46" t="s">
        <v>44</v>
      </c>
      <c r="E4" s="46" t="s">
        <v>45</v>
      </c>
      <c r="F4" s="46" t="s">
        <v>46</v>
      </c>
      <c r="G4" s="46" t="s">
        <v>47</v>
      </c>
      <c r="H4" s="46" t="s">
        <v>48</v>
      </c>
      <c r="I4" s="46" t="s">
        <v>49</v>
      </c>
      <c r="J4" s="46" t="s">
        <v>50</v>
      </c>
      <c r="K4" s="46" t="s">
        <v>51</v>
      </c>
    </row>
    <row r="5" spans="1:11" x14ac:dyDescent="0.6">
      <c r="A5" s="5"/>
      <c r="B5" s="5" t="s">
        <v>53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</row>
    <row r="6" spans="1:11" x14ac:dyDescent="0.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6">
      <c r="A7" s="5"/>
      <c r="B7" s="5" t="s">
        <v>209</v>
      </c>
      <c r="C7" s="44">
        <f>Budgets!B6*1.1*Budgets!$D$19</f>
        <v>16500000.000000002</v>
      </c>
      <c r="D7" s="44">
        <f>Budgets!C6*1.1*Budgets!$D$19*1.05</f>
        <v>18768750.000000004</v>
      </c>
      <c r="E7" s="44">
        <f>Budgets!D6*1.1*Budgets!$D$19*1.05*1.05</f>
        <v>21223125.000000004</v>
      </c>
      <c r="F7" s="44">
        <f>Budgets!E6*1.1*Budgets!$D$19*1.05*1.05*1.05</f>
        <v>23876015.625000004</v>
      </c>
      <c r="G7" s="44">
        <f>Budgets!F6*1.1*Budgets!$D$19*1.05*1.05*1.05*1.05</f>
        <v>26741137.5</v>
      </c>
      <c r="H7" s="44">
        <f>Budgets!G6*1.1*Budgets!$D$19*1.05*1.05*1.05*1.05*1.05</f>
        <v>29833081.5234375</v>
      </c>
      <c r="I7" s="44">
        <f>Budgets!H6*1.1*Budgets!$D$19*1.05*1.05*1.05*1.05*1.05*1.05</f>
        <v>33167367.10546875</v>
      </c>
      <c r="J7" s="44">
        <f>Budgets!I6*1.1*Budgets!$D$19*1.05*1.05*1.05*1.05*1.05*1.05*1.05</f>
        <v>36760498.541894533</v>
      </c>
      <c r="K7" s="44">
        <f>Budgets!J6*1.1*Budgets!$D$19*1.05*1.05*1.05*1.05*1.05*1.05*1.05*1.05</f>
        <v>40630024.704199217</v>
      </c>
    </row>
    <row r="8" spans="1:11" x14ac:dyDescent="0.6">
      <c r="A8" s="5"/>
      <c r="B8" s="5" t="s">
        <v>211</v>
      </c>
      <c r="C8" s="44">
        <f t="shared" ref="C8:K8" si="0">100000+C44</f>
        <v>1240000</v>
      </c>
      <c r="D8" s="44">
        <f t="shared" si="0"/>
        <v>1297000</v>
      </c>
      <c r="E8" s="44">
        <f t="shared" si="0"/>
        <v>1356850</v>
      </c>
      <c r="F8" s="44">
        <f t="shared" si="0"/>
        <v>1419692.5</v>
      </c>
      <c r="G8" s="44">
        <f t="shared" si="0"/>
        <v>1485677.125</v>
      </c>
      <c r="H8" s="44">
        <f t="shared" si="0"/>
        <v>1554960.9812500002</v>
      </c>
      <c r="I8" s="44">
        <f t="shared" si="0"/>
        <v>1627709.0303125002</v>
      </c>
      <c r="J8" s="44">
        <f t="shared" si="0"/>
        <v>1704094.4818281252</v>
      </c>
      <c r="K8" s="44">
        <f t="shared" si="0"/>
        <v>1784299.2059195316</v>
      </c>
    </row>
    <row r="9" spans="1:11" x14ac:dyDescent="0.6">
      <c r="A9" s="5"/>
      <c r="B9" s="5" t="s">
        <v>298</v>
      </c>
      <c r="C9" s="44">
        <f>C7*2%</f>
        <v>330000.00000000006</v>
      </c>
      <c r="D9" s="44">
        <f t="shared" ref="D9:K9" si="1">D7*2%</f>
        <v>375375.00000000006</v>
      </c>
      <c r="E9" s="44">
        <f t="shared" si="1"/>
        <v>424462.50000000006</v>
      </c>
      <c r="F9" s="44">
        <f t="shared" si="1"/>
        <v>477520.31250000006</v>
      </c>
      <c r="G9" s="44">
        <f t="shared" si="1"/>
        <v>534822.75</v>
      </c>
      <c r="H9" s="44">
        <f t="shared" si="1"/>
        <v>596661.63046875002</v>
      </c>
      <c r="I9" s="44">
        <f t="shared" si="1"/>
        <v>663347.34210937505</v>
      </c>
      <c r="J9" s="44">
        <f t="shared" si="1"/>
        <v>735209.97083789064</v>
      </c>
      <c r="K9" s="44">
        <f t="shared" si="1"/>
        <v>812600.49408398441</v>
      </c>
    </row>
    <row r="10" spans="1:11" x14ac:dyDescent="0.6">
      <c r="A10" s="5"/>
      <c r="B10" s="5" t="s">
        <v>216</v>
      </c>
      <c r="C10" s="44">
        <f>SUM(C7:C9)</f>
        <v>18070000</v>
      </c>
      <c r="D10" s="44">
        <f t="shared" ref="D10:K10" si="2">SUM(D7:D9)</f>
        <v>20441125.000000004</v>
      </c>
      <c r="E10" s="44">
        <f t="shared" si="2"/>
        <v>23004437.500000004</v>
      </c>
      <c r="F10" s="44">
        <f t="shared" si="2"/>
        <v>25773228.437500004</v>
      </c>
      <c r="G10" s="44">
        <f t="shared" si="2"/>
        <v>28761637.375</v>
      </c>
      <c r="H10" s="44">
        <f t="shared" si="2"/>
        <v>31984704.135156248</v>
      </c>
      <c r="I10" s="44">
        <f t="shared" si="2"/>
        <v>35458423.477890626</v>
      </c>
      <c r="J10" s="44">
        <f t="shared" si="2"/>
        <v>39199802.994560547</v>
      </c>
      <c r="K10" s="44">
        <f t="shared" si="2"/>
        <v>43226924.404202737</v>
      </c>
    </row>
    <row r="11" spans="1:11" x14ac:dyDescent="0.6">
      <c r="A11" s="5"/>
      <c r="B11" s="5" t="s">
        <v>217</v>
      </c>
      <c r="C11" s="44">
        <v>0</v>
      </c>
      <c r="D11" s="44">
        <f>C12</f>
        <v>210000</v>
      </c>
      <c r="E11" s="44">
        <f t="shared" ref="E11:K11" si="3">D12</f>
        <v>437500</v>
      </c>
      <c r="F11" s="44">
        <f t="shared" si="3"/>
        <v>682500</v>
      </c>
      <c r="G11" s="44">
        <f t="shared" si="3"/>
        <v>945000</v>
      </c>
      <c r="H11" s="44">
        <f t="shared" si="3"/>
        <v>1225000</v>
      </c>
      <c r="I11" s="44">
        <f t="shared" si="3"/>
        <v>927500</v>
      </c>
      <c r="J11" s="44">
        <f t="shared" si="3"/>
        <v>612500</v>
      </c>
      <c r="K11" s="44">
        <f t="shared" si="3"/>
        <v>280000</v>
      </c>
    </row>
    <row r="12" spans="1:11" x14ac:dyDescent="0.6">
      <c r="A12" s="5"/>
      <c r="B12" s="5" t="s">
        <v>218</v>
      </c>
      <c r="C12" s="44">
        <f>Budgets!B27*28</f>
        <v>210000</v>
      </c>
      <c r="D12" s="44">
        <f>Budgets!C27*28</f>
        <v>437500</v>
      </c>
      <c r="E12" s="44">
        <f>Budgets!D27*28</f>
        <v>682500</v>
      </c>
      <c r="F12" s="44">
        <f>Budgets!E27*28</f>
        <v>945000</v>
      </c>
      <c r="G12" s="44">
        <f>Budgets!F27*28</f>
        <v>1225000</v>
      </c>
      <c r="H12" s="44">
        <f>Budgets!G27*28</f>
        <v>927500</v>
      </c>
      <c r="I12" s="44">
        <f>Budgets!H27*28</f>
        <v>612500</v>
      </c>
      <c r="J12" s="44">
        <f>Budgets!I27*28</f>
        <v>280000</v>
      </c>
      <c r="K12" s="44">
        <f>Budgets!J27*28</f>
        <v>0</v>
      </c>
    </row>
    <row r="13" spans="1:11" x14ac:dyDescent="0.6">
      <c r="A13" s="5"/>
      <c r="B13" s="5" t="s">
        <v>221</v>
      </c>
      <c r="C13" s="44">
        <f>C10+C11-C12</f>
        <v>17860000</v>
      </c>
      <c r="D13" s="44">
        <f t="shared" ref="D13:K13" si="4">D10+D11-D12</f>
        <v>20213625.000000004</v>
      </c>
      <c r="E13" s="44">
        <f t="shared" si="4"/>
        <v>22759437.500000004</v>
      </c>
      <c r="F13" s="44">
        <f t="shared" si="4"/>
        <v>25510728.437500004</v>
      </c>
      <c r="G13" s="44">
        <f t="shared" si="4"/>
        <v>28481637.375</v>
      </c>
      <c r="H13" s="44">
        <f t="shared" si="4"/>
        <v>32282204.135156248</v>
      </c>
      <c r="I13" s="44">
        <f t="shared" si="4"/>
        <v>35773423.477890626</v>
      </c>
      <c r="J13" s="44">
        <f t="shared" si="4"/>
        <v>39532302.994560547</v>
      </c>
      <c r="K13" s="44">
        <f t="shared" si="4"/>
        <v>43506924.404202737</v>
      </c>
    </row>
    <row r="14" spans="1:11" x14ac:dyDescent="0.6">
      <c r="A14" s="5"/>
      <c r="B14" s="5"/>
      <c r="C14" s="44"/>
      <c r="D14" s="44"/>
      <c r="E14" s="44"/>
      <c r="F14" s="44"/>
      <c r="G14" s="44"/>
      <c r="H14" s="44"/>
      <c r="I14" s="44"/>
      <c r="J14" s="44"/>
      <c r="K14" s="44"/>
    </row>
    <row r="15" spans="1:11" x14ac:dyDescent="0.6">
      <c r="A15" s="5"/>
      <c r="B15" s="5"/>
      <c r="C15" s="44"/>
      <c r="D15" s="44"/>
      <c r="E15" s="44"/>
      <c r="F15" s="44"/>
      <c r="G15" s="44"/>
      <c r="H15" s="44"/>
      <c r="I15" s="44"/>
      <c r="J15" s="44"/>
      <c r="K15" s="44"/>
    </row>
    <row r="16" spans="1:11" x14ac:dyDescent="0.6">
      <c r="A16" s="5"/>
      <c r="B16" s="5" t="s">
        <v>55</v>
      </c>
      <c r="C16" s="44">
        <f>'Ann 8'!E12</f>
        <v>1368000</v>
      </c>
      <c r="D16" s="44">
        <f>1.06*C16</f>
        <v>1450080</v>
      </c>
      <c r="E16" s="44">
        <f t="shared" ref="E16:K16" si="5">1.06*D16</f>
        <v>1537084.8</v>
      </c>
      <c r="F16" s="44">
        <f t="shared" si="5"/>
        <v>1629309.888</v>
      </c>
      <c r="G16" s="44">
        <f t="shared" si="5"/>
        <v>1727068.4812800002</v>
      </c>
      <c r="H16" s="44">
        <f t="shared" si="5"/>
        <v>1830692.5901568003</v>
      </c>
      <c r="I16" s="44">
        <f t="shared" si="5"/>
        <v>1940534.1455662085</v>
      </c>
      <c r="J16" s="44">
        <f t="shared" si="5"/>
        <v>2056966.1943001812</v>
      </c>
      <c r="K16" s="44">
        <f t="shared" si="5"/>
        <v>2180384.1659581922</v>
      </c>
    </row>
    <row r="17" spans="1:11" x14ac:dyDescent="0.6">
      <c r="A17" s="5"/>
      <c r="B17" s="5" t="s">
        <v>171</v>
      </c>
      <c r="C17" s="44">
        <v>200000</v>
      </c>
      <c r="D17" s="44">
        <f>C17*1.01</f>
        <v>202000</v>
      </c>
      <c r="E17" s="44">
        <f t="shared" ref="E17:K17" si="6">D17*1.01</f>
        <v>204020</v>
      </c>
      <c r="F17" s="44">
        <f t="shared" si="6"/>
        <v>206060.2</v>
      </c>
      <c r="G17" s="44">
        <f t="shared" si="6"/>
        <v>208120.80200000003</v>
      </c>
      <c r="H17" s="44">
        <f t="shared" si="6"/>
        <v>210202.01002000002</v>
      </c>
      <c r="I17" s="44">
        <f t="shared" si="6"/>
        <v>212304.03012020001</v>
      </c>
      <c r="J17" s="44">
        <f t="shared" si="6"/>
        <v>214427.07042140202</v>
      </c>
      <c r="K17" s="44">
        <f t="shared" si="6"/>
        <v>216571.34112561605</v>
      </c>
    </row>
    <row r="18" spans="1:11" x14ac:dyDescent="0.6">
      <c r="A18" s="5"/>
      <c r="B18" s="5" t="s">
        <v>294</v>
      </c>
      <c r="C18" s="44">
        <f>Budgets!B7*0.5</f>
        <v>371250</v>
      </c>
      <c r="D18" s="44">
        <f>Budgets!C7*0.5</f>
        <v>402187.5</v>
      </c>
      <c r="E18" s="44">
        <f>Budgets!D7*0.5</f>
        <v>433125</v>
      </c>
      <c r="F18" s="44">
        <f>Budgets!E7*0.5</f>
        <v>464062.5</v>
      </c>
      <c r="G18" s="44">
        <f>Budgets!F7*0.5</f>
        <v>495000</v>
      </c>
      <c r="H18" s="44">
        <f>Budgets!G7*0.5</f>
        <v>536562.5</v>
      </c>
      <c r="I18" s="44">
        <f>Budgets!H7*0.5</f>
        <v>568125</v>
      </c>
      <c r="J18" s="44">
        <f>Budgets!I7*0.5</f>
        <v>599687.5</v>
      </c>
      <c r="K18" s="44">
        <f>Budgets!J7*0.5</f>
        <v>630000</v>
      </c>
    </row>
    <row r="19" spans="1:11" x14ac:dyDescent="0.6">
      <c r="A19" s="5"/>
      <c r="B19" s="5" t="s">
        <v>8</v>
      </c>
      <c r="C19" s="44">
        <f t="shared" ref="C19:K19" si="7">SUM(C16:C18)</f>
        <v>1939250</v>
      </c>
      <c r="D19" s="44">
        <f t="shared" si="7"/>
        <v>2054267.5</v>
      </c>
      <c r="E19" s="44">
        <f t="shared" si="7"/>
        <v>2174229.7999999998</v>
      </c>
      <c r="F19" s="44">
        <f t="shared" si="7"/>
        <v>2299432.588</v>
      </c>
      <c r="G19" s="44">
        <f t="shared" si="7"/>
        <v>2430189.2832800001</v>
      </c>
      <c r="H19" s="44">
        <f t="shared" si="7"/>
        <v>2577457.1001768</v>
      </c>
      <c r="I19" s="44">
        <f t="shared" si="7"/>
        <v>2720963.1756864088</v>
      </c>
      <c r="J19" s="44">
        <f t="shared" si="7"/>
        <v>2871080.7647215831</v>
      </c>
      <c r="K19" s="44">
        <f t="shared" si="7"/>
        <v>3026955.5070838081</v>
      </c>
    </row>
    <row r="20" spans="1:11" x14ac:dyDescent="0.6">
      <c r="A20" s="5"/>
      <c r="B20" s="5"/>
      <c r="C20" s="44"/>
      <c r="D20" s="44"/>
      <c r="E20" s="44"/>
      <c r="F20" s="44"/>
      <c r="G20" s="44"/>
      <c r="H20" s="44"/>
      <c r="I20" s="44"/>
      <c r="J20" s="44"/>
      <c r="K20" s="44"/>
    </row>
    <row r="21" spans="1:11" x14ac:dyDescent="0.6">
      <c r="A21" s="5"/>
      <c r="B21" s="5" t="s">
        <v>99</v>
      </c>
      <c r="C21" s="44">
        <f t="shared" ref="C21:K21" si="8">C19+C13</f>
        <v>19799250</v>
      </c>
      <c r="D21" s="44">
        <f t="shared" si="8"/>
        <v>22267892.500000004</v>
      </c>
      <c r="E21" s="44">
        <f t="shared" si="8"/>
        <v>24933667.300000004</v>
      </c>
      <c r="F21" s="44">
        <f t="shared" si="8"/>
        <v>27810161.025500003</v>
      </c>
      <c r="G21" s="44">
        <f t="shared" si="8"/>
        <v>30911826.65828</v>
      </c>
      <c r="H21" s="44">
        <f t="shared" si="8"/>
        <v>34859661.235333048</v>
      </c>
      <c r="I21" s="44">
        <f t="shared" si="8"/>
        <v>38494386.653577037</v>
      </c>
      <c r="J21" s="44">
        <f t="shared" si="8"/>
        <v>42403383.759282127</v>
      </c>
      <c r="K21" s="44">
        <f t="shared" si="8"/>
        <v>46533879.911286548</v>
      </c>
    </row>
    <row r="22" spans="1:11" x14ac:dyDescent="0.6">
      <c r="A22" s="5"/>
      <c r="B22" s="5" t="s">
        <v>100</v>
      </c>
      <c r="C22" s="44">
        <f>Budgets!B8</f>
        <v>21000000</v>
      </c>
      <c r="D22" s="44">
        <f>Budgets!C8*1.04</f>
        <v>24843000</v>
      </c>
      <c r="E22" s="44">
        <f>Budgets!D8*1.04*1.04</f>
        <v>27824160</v>
      </c>
      <c r="F22" s="44">
        <f>Budgets!E8*1.04*1.04*1.04</f>
        <v>31004064</v>
      </c>
      <c r="G22" s="44">
        <f>Budgets!F8*1.04*1.04*1.04*1.04</f>
        <v>34393841.664000005</v>
      </c>
      <c r="H22" s="44">
        <f>Budgets!G8*1.04*1.04*1.04*1.04*1.04</f>
        <v>38005195.038720012</v>
      </c>
      <c r="I22" s="44">
        <f>Budgets!H8*1.04*1.04*1.04*1.04*1.04*1.04</f>
        <v>41850426.536755212</v>
      </c>
      <c r="J22" s="44">
        <f>Budgets!I8*1.04*1.04*1.04*1.04*1.04*1.04*1.04</f>
        <v>45942468.242571279</v>
      </c>
      <c r="K22" s="44">
        <f>Budgets!J8*1.04*1.04*1.04*1.04*1.04*1.04*1.04*1.04</f>
        <v>50294912.602393806</v>
      </c>
    </row>
    <row r="23" spans="1:11" x14ac:dyDescent="0.6">
      <c r="A23" s="5"/>
      <c r="B23" s="5" t="s">
        <v>101</v>
      </c>
      <c r="C23" s="44">
        <f>C22-C21</f>
        <v>1200750</v>
      </c>
      <c r="D23" s="44">
        <f t="shared" ref="D23:K23" si="9">D22-D21</f>
        <v>2575107.4999999963</v>
      </c>
      <c r="E23" s="44">
        <f t="shared" si="9"/>
        <v>2890492.6999999955</v>
      </c>
      <c r="F23" s="44">
        <f t="shared" si="9"/>
        <v>3193902.9744999968</v>
      </c>
      <c r="G23" s="44">
        <f t="shared" si="9"/>
        <v>3482015.0057200044</v>
      </c>
      <c r="H23" s="44">
        <f t="shared" si="9"/>
        <v>3145533.8033869639</v>
      </c>
      <c r="I23" s="44">
        <f t="shared" si="9"/>
        <v>3356039.8831781745</v>
      </c>
      <c r="J23" s="44">
        <f t="shared" si="9"/>
        <v>3539084.4832891524</v>
      </c>
      <c r="K23" s="44">
        <f t="shared" si="9"/>
        <v>3761032.6911072582</v>
      </c>
    </row>
    <row r="24" spans="1:11" x14ac:dyDescent="0.6">
      <c r="A24" s="5"/>
      <c r="B24" s="5"/>
      <c r="C24" s="44"/>
      <c r="D24" s="44"/>
      <c r="E24" s="44"/>
      <c r="F24" s="44"/>
      <c r="G24" s="44"/>
      <c r="H24" s="44"/>
      <c r="I24" s="44"/>
      <c r="J24" s="44"/>
      <c r="K24" s="44"/>
    </row>
    <row r="25" spans="1:11" x14ac:dyDescent="0.6">
      <c r="A25" s="5"/>
      <c r="B25" s="5" t="s">
        <v>102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x14ac:dyDescent="0.6">
      <c r="A26" s="5"/>
      <c r="B26" s="5" t="s">
        <v>103</v>
      </c>
      <c r="C26" s="44">
        <f>SUM('Ann 13'!E9:E12)*100000</f>
        <v>427251.92307692306</v>
      </c>
      <c r="D26" s="44">
        <f>SUM('Ann 13'!E13:E16)*100000</f>
        <v>373326.92307692301</v>
      </c>
      <c r="E26" s="44">
        <f>SUM('Ann 13'!E17:E20)*100000</f>
        <v>306957.69230769214</v>
      </c>
      <c r="F26" s="44">
        <f>SUM('Ann 13'!E21:E24)*100000</f>
        <v>240588.4615384613</v>
      </c>
      <c r="G26" s="44">
        <f>SUM('Ann 13'!E25:E28)*100000</f>
        <v>174219.23076923052</v>
      </c>
      <c r="H26" s="44">
        <f>SUM('Ann 13'!E29:E32)*100000</f>
        <v>107849.99999999974</v>
      </c>
      <c r="I26" s="44">
        <f>SUM('Ann 13'!E33:E36)*100000</f>
        <v>41480.769230768972</v>
      </c>
      <c r="J26" s="44">
        <v>0</v>
      </c>
      <c r="K26" s="44">
        <v>0</v>
      </c>
    </row>
    <row r="27" spans="1:11" x14ac:dyDescent="0.6">
      <c r="A27" s="5"/>
      <c r="B27" s="5" t="s">
        <v>181</v>
      </c>
      <c r="C27" s="44">
        <f>'Ann 2'!$C$7*10%*100000</f>
        <v>100000</v>
      </c>
      <c r="D27" s="44">
        <f>'Ann 2'!$C$7*10%*100000</f>
        <v>100000</v>
      </c>
      <c r="E27" s="44">
        <f>'Ann 2'!$C$7*10%*100000</f>
        <v>100000</v>
      </c>
      <c r="F27" s="44">
        <f>'Ann 2'!$C$7*10%*100000</f>
        <v>100000</v>
      </c>
      <c r="G27" s="44">
        <f>'Ann 2'!$C$7*10%*100000</f>
        <v>100000</v>
      </c>
      <c r="H27" s="44">
        <f>'Ann 2'!$C$7*10%*100000</f>
        <v>100000</v>
      </c>
      <c r="I27" s="44">
        <f>'Ann 2'!$C$7*10%*100000</f>
        <v>100000</v>
      </c>
      <c r="J27" s="44">
        <f>'Ann 2'!$C$7*10%*100000</f>
        <v>100000</v>
      </c>
      <c r="K27" s="44">
        <f>'Ann 2'!$C$7*10%*100000</f>
        <v>100000</v>
      </c>
    </row>
    <row r="28" spans="1:11" x14ac:dyDescent="0.6">
      <c r="A28" s="5"/>
      <c r="B28" s="45" t="s">
        <v>113</v>
      </c>
      <c r="C28" s="44">
        <f>SUM(C26:C27)</f>
        <v>527251.92307692301</v>
      </c>
      <c r="D28" s="44">
        <f t="shared" ref="D28:K28" si="10">SUM(D26:D27)</f>
        <v>473326.92307692301</v>
      </c>
      <c r="E28" s="44">
        <f t="shared" si="10"/>
        <v>406957.69230769214</v>
      </c>
      <c r="F28" s="44">
        <f t="shared" si="10"/>
        <v>340588.46153846127</v>
      </c>
      <c r="G28" s="44">
        <f t="shared" si="10"/>
        <v>274219.23076923052</v>
      </c>
      <c r="H28" s="44">
        <f t="shared" si="10"/>
        <v>207849.99999999974</v>
      </c>
      <c r="I28" s="44">
        <f t="shared" si="10"/>
        <v>141480.76923076896</v>
      </c>
      <c r="J28" s="44">
        <f t="shared" si="10"/>
        <v>100000</v>
      </c>
      <c r="K28" s="44">
        <f t="shared" si="10"/>
        <v>100000</v>
      </c>
    </row>
    <row r="29" spans="1:11" x14ac:dyDescent="0.6">
      <c r="A29" s="5"/>
      <c r="B29" s="5"/>
      <c r="C29" s="44"/>
      <c r="D29" s="44"/>
      <c r="E29" s="44"/>
      <c r="F29" s="44"/>
      <c r="G29" s="44"/>
      <c r="H29" s="44"/>
      <c r="I29" s="44"/>
      <c r="J29" s="44"/>
      <c r="K29" s="44"/>
    </row>
    <row r="30" spans="1:11" x14ac:dyDescent="0.6">
      <c r="A30" s="5"/>
      <c r="B30" s="5" t="s">
        <v>114</v>
      </c>
      <c r="C30" s="44">
        <f t="shared" ref="C30:K30" si="11">C23-C28</f>
        <v>673498.07692307699</v>
      </c>
      <c r="D30" s="44">
        <f t="shared" si="11"/>
        <v>2101780.5769230733</v>
      </c>
      <c r="E30" s="44">
        <f t="shared" si="11"/>
        <v>2483535.0076923035</v>
      </c>
      <c r="F30" s="44">
        <f t="shared" si="11"/>
        <v>2853314.5129615357</v>
      </c>
      <c r="G30" s="44">
        <f t="shared" si="11"/>
        <v>3207795.7749507739</v>
      </c>
      <c r="H30" s="44">
        <f t="shared" si="11"/>
        <v>2937683.8033869644</v>
      </c>
      <c r="I30" s="44">
        <f t="shared" si="11"/>
        <v>3214559.1139474055</v>
      </c>
      <c r="J30" s="44">
        <f t="shared" si="11"/>
        <v>3439084.4832891524</v>
      </c>
      <c r="K30" s="44">
        <f t="shared" si="11"/>
        <v>3661032.6911072582</v>
      </c>
    </row>
    <row r="31" spans="1:11" x14ac:dyDescent="0.6">
      <c r="A31" s="5"/>
      <c r="B31" s="5" t="s">
        <v>225</v>
      </c>
      <c r="C31" s="44">
        <f>'Ann 1'!C35*100000</f>
        <v>100000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</row>
    <row r="32" spans="1:11" x14ac:dyDescent="0.6">
      <c r="A32" s="5"/>
      <c r="B32" s="45" t="s">
        <v>115</v>
      </c>
      <c r="C32" s="44">
        <f>'Ann 9'!F12</f>
        <v>1122000</v>
      </c>
      <c r="D32" s="44">
        <f>'Ann 9'!F13</f>
        <v>961500.00000000012</v>
      </c>
      <c r="E32" s="44">
        <f>'Ann 9'!F14</f>
        <v>824295.00000000012</v>
      </c>
      <c r="F32" s="44">
        <f>'Ann 9'!F15</f>
        <v>706968.75000000012</v>
      </c>
      <c r="G32" s="44">
        <f>'Ann 9'!F16</f>
        <v>606609.63750000007</v>
      </c>
      <c r="H32" s="44">
        <f>'Ann 9'!C17+'Ann 9'!D17+'Ann 9'!E17</f>
        <v>520735.77187500009</v>
      </c>
      <c r="I32" s="44">
        <f>'Ann 9'!C18+'Ann 9'!D18+'Ann 9'!E18</f>
        <v>447231.22809375008</v>
      </c>
      <c r="J32" s="44">
        <f>'Ann 9'!C19+'Ann 9'!D19+'Ann 9'!E19</f>
        <v>384291.78367968759</v>
      </c>
      <c r="K32" s="44">
        <f>'Ann 9'!C20+'Ann 9'!D20+'Ann 9'!E20</f>
        <v>330378.73194773443</v>
      </c>
    </row>
    <row r="33" spans="1:11" x14ac:dyDescent="0.6">
      <c r="A33" s="5"/>
      <c r="B33" s="45" t="s">
        <v>116</v>
      </c>
      <c r="C33" s="44">
        <f>C30-C32-C31</f>
        <v>-548501.92307692301</v>
      </c>
      <c r="D33" s="44">
        <f t="shared" ref="D33:K33" si="12">D30-D32-D31</f>
        <v>1140280.5769230733</v>
      </c>
      <c r="E33" s="44">
        <f t="shared" si="12"/>
        <v>1659240.0076923035</v>
      </c>
      <c r="F33" s="44">
        <f t="shared" si="12"/>
        <v>2146345.7629615357</v>
      </c>
      <c r="G33" s="44">
        <f t="shared" si="12"/>
        <v>2601186.1374507737</v>
      </c>
      <c r="H33" s="44">
        <f t="shared" si="12"/>
        <v>2416948.0315119643</v>
      </c>
      <c r="I33" s="44">
        <f t="shared" si="12"/>
        <v>2767327.8858536556</v>
      </c>
      <c r="J33" s="44">
        <f t="shared" si="12"/>
        <v>3054792.699609465</v>
      </c>
      <c r="K33" s="44">
        <f t="shared" si="12"/>
        <v>3330653.9591595237</v>
      </c>
    </row>
    <row r="34" spans="1:11" x14ac:dyDescent="0.6">
      <c r="A34" s="5"/>
      <c r="B34" s="45" t="s">
        <v>117</v>
      </c>
      <c r="C34" s="44">
        <f>'Ann 10'!B14</f>
        <v>-134550.57692307691</v>
      </c>
      <c r="D34" s="44">
        <f>'Ann 10'!C14</f>
        <v>342084.17307692196</v>
      </c>
      <c r="E34" s="44">
        <f>'Ann 10'!D14</f>
        <v>497772.00230769103</v>
      </c>
      <c r="F34" s="44">
        <f>'Ann 10'!E14</f>
        <v>643903.72888846067</v>
      </c>
      <c r="G34" s="44">
        <f>'Ann 10'!F14</f>
        <v>780355.84123523207</v>
      </c>
      <c r="H34" s="44">
        <f>'Ann 10'!G14</f>
        <v>725084.40945358924</v>
      </c>
      <c r="I34" s="44">
        <f>'Ann 10'!H14</f>
        <v>830198.36575609667</v>
      </c>
      <c r="J34" s="44">
        <f>'Ann 10'!I14</f>
        <v>916437.80988283944</v>
      </c>
      <c r="K34" s="44">
        <f>'Ann 10'!J14</f>
        <v>999196.18774785707</v>
      </c>
    </row>
    <row r="35" spans="1:11" x14ac:dyDescent="0.6">
      <c r="A35" s="5"/>
      <c r="B35" s="45" t="s">
        <v>118</v>
      </c>
      <c r="C35" s="44">
        <f>C33-C34</f>
        <v>-413951.34615384613</v>
      </c>
      <c r="D35" s="44">
        <f>D33-D34</f>
        <v>798196.40384615131</v>
      </c>
      <c r="E35" s="44">
        <f t="shared" ref="E35:K35" si="13">E33-E34</f>
        <v>1161468.0053846124</v>
      </c>
      <c r="F35" s="44">
        <f t="shared" si="13"/>
        <v>1502442.034073075</v>
      </c>
      <c r="G35" s="44">
        <f t="shared" si="13"/>
        <v>1820830.2962155417</v>
      </c>
      <c r="H35" s="44">
        <f t="shared" si="13"/>
        <v>1691863.622058375</v>
      </c>
      <c r="I35" s="44">
        <f t="shared" si="13"/>
        <v>1937129.5200975589</v>
      </c>
      <c r="J35" s="44">
        <f t="shared" si="13"/>
        <v>2138354.8897266258</v>
      </c>
      <c r="K35" s="44">
        <f t="shared" si="13"/>
        <v>2331457.7714116666</v>
      </c>
    </row>
    <row r="36" spans="1:11" x14ac:dyDescent="0.6">
      <c r="A36" s="5"/>
      <c r="B36" s="45" t="s">
        <v>119</v>
      </c>
      <c r="C36" s="44">
        <v>0</v>
      </c>
      <c r="D36" s="44">
        <f t="shared" ref="D36:K36" si="14">D35*80%</f>
        <v>638557.1230769211</v>
      </c>
      <c r="E36" s="44">
        <f t="shared" si="14"/>
        <v>929174.40430768998</v>
      </c>
      <c r="F36" s="44">
        <f t="shared" si="14"/>
        <v>1201953.62725846</v>
      </c>
      <c r="G36" s="44">
        <f t="shared" si="14"/>
        <v>1456664.2369724335</v>
      </c>
      <c r="H36" s="44">
        <f t="shared" si="14"/>
        <v>1353490.8976467</v>
      </c>
      <c r="I36" s="44">
        <f t="shared" si="14"/>
        <v>1549703.6160780471</v>
      </c>
      <c r="J36" s="44">
        <f t="shared" si="14"/>
        <v>1710683.9117813008</v>
      </c>
      <c r="K36" s="44">
        <f t="shared" si="14"/>
        <v>1865166.2171293334</v>
      </c>
    </row>
    <row r="37" spans="1:11" x14ac:dyDescent="0.6">
      <c r="A37" s="5"/>
      <c r="B37" s="45" t="s">
        <v>129</v>
      </c>
      <c r="C37" s="44">
        <f>C35-C36</f>
        <v>-413951.34615384613</v>
      </c>
      <c r="D37" s="44">
        <f t="shared" ref="D37:K37" si="15">D35-D36</f>
        <v>159639.28076923022</v>
      </c>
      <c r="E37" s="44">
        <f t="shared" si="15"/>
        <v>232293.60107692238</v>
      </c>
      <c r="F37" s="44">
        <f t="shared" si="15"/>
        <v>300488.40681461501</v>
      </c>
      <c r="G37" s="44">
        <f t="shared" si="15"/>
        <v>364166.05924310815</v>
      </c>
      <c r="H37" s="44">
        <f t="shared" si="15"/>
        <v>338372.72441167501</v>
      </c>
      <c r="I37" s="44">
        <f t="shared" si="15"/>
        <v>387425.90401951177</v>
      </c>
      <c r="J37" s="44">
        <f t="shared" si="15"/>
        <v>427670.97794532496</v>
      </c>
      <c r="K37" s="44">
        <f t="shared" si="15"/>
        <v>466291.55428233324</v>
      </c>
    </row>
    <row r="39" spans="1:11" x14ac:dyDescent="0.6">
      <c r="A39" s="4" t="s">
        <v>210</v>
      </c>
    </row>
    <row r="40" spans="1:11" x14ac:dyDescent="0.6">
      <c r="A40" s="4" t="s">
        <v>213</v>
      </c>
    </row>
    <row r="41" spans="1:11" x14ac:dyDescent="0.6">
      <c r="A41" s="4" t="s">
        <v>239</v>
      </c>
    </row>
    <row r="42" spans="1:11" x14ac:dyDescent="0.6">
      <c r="A42" s="4" t="s">
        <v>214</v>
      </c>
    </row>
    <row r="43" spans="1:11" x14ac:dyDescent="0.6">
      <c r="B43" s="4" t="s">
        <v>212</v>
      </c>
      <c r="C43" s="4">
        <v>95000</v>
      </c>
      <c r="D43" s="4">
        <f>C43*1.05</f>
        <v>99750</v>
      </c>
      <c r="E43" s="4">
        <f t="shared" ref="E43:K43" si="16">D43*1.05</f>
        <v>104737.5</v>
      </c>
      <c r="F43" s="4">
        <f t="shared" si="16"/>
        <v>109974.375</v>
      </c>
      <c r="G43" s="4">
        <f t="shared" si="16"/>
        <v>115473.09375</v>
      </c>
      <c r="H43" s="4">
        <f t="shared" si="16"/>
        <v>121246.74843750001</v>
      </c>
      <c r="I43" s="4">
        <f t="shared" si="16"/>
        <v>127309.08585937502</v>
      </c>
      <c r="J43" s="4">
        <f t="shared" si="16"/>
        <v>133674.54015234378</v>
      </c>
      <c r="K43" s="4">
        <f t="shared" si="16"/>
        <v>140358.26715996096</v>
      </c>
    </row>
    <row r="44" spans="1:11" x14ac:dyDescent="0.6">
      <c r="B44" s="4" t="s">
        <v>77</v>
      </c>
      <c r="C44" s="4">
        <f>C43*12</f>
        <v>1140000</v>
      </c>
      <c r="D44" s="4">
        <f t="shared" ref="D44:K44" si="17">D43*12</f>
        <v>1197000</v>
      </c>
      <c r="E44" s="4">
        <f t="shared" si="17"/>
        <v>1256850</v>
      </c>
      <c r="F44" s="4">
        <f t="shared" si="17"/>
        <v>1319692.5</v>
      </c>
      <c r="G44" s="4">
        <f t="shared" si="17"/>
        <v>1385677.125</v>
      </c>
      <c r="H44" s="4">
        <f t="shared" si="17"/>
        <v>1454960.9812500002</v>
      </c>
      <c r="I44" s="4">
        <f t="shared" si="17"/>
        <v>1527709.0303125002</v>
      </c>
      <c r="J44" s="4">
        <f t="shared" si="17"/>
        <v>1604094.4818281252</v>
      </c>
      <c r="K44" s="4">
        <f t="shared" si="17"/>
        <v>1684299.2059195316</v>
      </c>
    </row>
    <row r="45" spans="1:11" x14ac:dyDescent="0.6">
      <c r="A45" s="4" t="s">
        <v>215</v>
      </c>
    </row>
    <row r="46" spans="1:11" x14ac:dyDescent="0.6">
      <c r="A46" s="4" t="s">
        <v>219</v>
      </c>
    </row>
  </sheetData>
  <mergeCells count="3">
    <mergeCell ref="C3:K3"/>
    <mergeCell ref="A3:A4"/>
    <mergeCell ref="B3:B4"/>
  </mergeCells>
  <pageMargins left="0.7" right="0.7" top="0.75" bottom="0.75" header="0.3" footer="0.3"/>
  <pageSetup scale="60" orientation="landscape" r:id="rId1"/>
  <ignoredErrors>
    <ignoredError sqref="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4"/>
  <sheetViews>
    <sheetView workbookViewId="0"/>
  </sheetViews>
  <sheetFormatPr defaultRowHeight="17" x14ac:dyDescent="0.6"/>
  <cols>
    <col min="1" max="1" width="8.7265625" style="4"/>
    <col min="2" max="2" width="28.26953125" style="4" customWidth="1"/>
    <col min="3" max="3" width="15.6328125" style="4" bestFit="1" customWidth="1"/>
    <col min="4" max="10" width="13.7265625" style="4" bestFit="1" customWidth="1"/>
    <col min="11" max="11" width="13.6328125" style="4" bestFit="1" customWidth="1"/>
    <col min="12" max="12" width="10" style="4" bestFit="1" customWidth="1"/>
    <col min="13" max="16384" width="8.7265625" style="4"/>
  </cols>
  <sheetData>
    <row r="1" spans="1:11" x14ac:dyDescent="0.6">
      <c r="A1" s="3" t="s">
        <v>130</v>
      </c>
    </row>
    <row r="3" spans="1:11" x14ac:dyDescent="0.6">
      <c r="A3" s="4" t="s">
        <v>131</v>
      </c>
    </row>
    <row r="5" spans="1:11" x14ac:dyDescent="0.6">
      <c r="A5" s="100" t="s">
        <v>41</v>
      </c>
      <c r="B5" s="100" t="s">
        <v>42</v>
      </c>
      <c r="C5" s="103" t="s">
        <v>52</v>
      </c>
      <c r="D5" s="103"/>
      <c r="E5" s="103"/>
      <c r="F5" s="103"/>
      <c r="G5" s="103"/>
      <c r="H5" s="103"/>
      <c r="I5" s="103"/>
      <c r="J5" s="103"/>
      <c r="K5" s="103"/>
    </row>
    <row r="6" spans="1:11" x14ac:dyDescent="0.6">
      <c r="A6" s="100"/>
      <c r="B6" s="100"/>
      <c r="C6" s="68" t="s">
        <v>43</v>
      </c>
      <c r="D6" s="68" t="s">
        <v>44</v>
      </c>
      <c r="E6" s="68" t="s">
        <v>45</v>
      </c>
      <c r="F6" s="68" t="s">
        <v>46</v>
      </c>
      <c r="G6" s="68" t="s">
        <v>47</v>
      </c>
      <c r="H6" s="68" t="s">
        <v>48</v>
      </c>
      <c r="I6" s="68" t="s">
        <v>49</v>
      </c>
      <c r="J6" s="68" t="s">
        <v>50</v>
      </c>
      <c r="K6" s="68" t="s">
        <v>51</v>
      </c>
    </row>
    <row r="7" spans="1:11" x14ac:dyDescent="0.6">
      <c r="A7" s="47" t="s">
        <v>165</v>
      </c>
      <c r="B7" s="48" t="s">
        <v>132</v>
      </c>
      <c r="C7" s="49"/>
      <c r="D7" s="49"/>
      <c r="E7" s="50"/>
      <c r="F7" s="50"/>
      <c r="G7" s="50"/>
      <c r="H7" s="50"/>
      <c r="I7" s="50"/>
      <c r="J7" s="50"/>
      <c r="K7" s="50"/>
    </row>
    <row r="8" spans="1:11" x14ac:dyDescent="0.6">
      <c r="A8" s="25">
        <v>1</v>
      </c>
      <c r="B8" s="26" t="s">
        <v>133</v>
      </c>
      <c r="C8" s="10"/>
      <c r="D8" s="10"/>
      <c r="E8" s="11"/>
      <c r="F8" s="11"/>
      <c r="G8" s="11"/>
      <c r="H8" s="11"/>
      <c r="I8" s="11"/>
      <c r="J8" s="11"/>
      <c r="K8" s="11"/>
    </row>
    <row r="9" spans="1:11" x14ac:dyDescent="0.6">
      <c r="A9" s="25"/>
      <c r="B9" s="26" t="s">
        <v>134</v>
      </c>
      <c r="C9" s="51">
        <f>'Ann 9'!C6+'Ann 9'!D6+'Ann 9'!E6</f>
        <v>8000000.0000000009</v>
      </c>
      <c r="D9" s="52">
        <f>C11</f>
        <v>6878000.0000000009</v>
      </c>
      <c r="E9" s="14">
        <f t="shared" ref="E9:K9" si="0">D11</f>
        <v>5916500.0000000009</v>
      </c>
      <c r="F9" s="14">
        <f t="shared" si="0"/>
        <v>5092205.0000000009</v>
      </c>
      <c r="G9" s="14">
        <f t="shared" si="0"/>
        <v>4385236.2500000009</v>
      </c>
      <c r="H9" s="14">
        <f t="shared" si="0"/>
        <v>3778626.6125000007</v>
      </c>
      <c r="I9" s="14">
        <f t="shared" si="0"/>
        <v>3257890.8406250007</v>
      </c>
      <c r="J9" s="14">
        <f t="shared" si="0"/>
        <v>2810659.6125312503</v>
      </c>
      <c r="K9" s="14">
        <f t="shared" si="0"/>
        <v>2426367.8288515629</v>
      </c>
    </row>
    <row r="10" spans="1:11" x14ac:dyDescent="0.6">
      <c r="A10" s="25"/>
      <c r="B10" s="26" t="s">
        <v>135</v>
      </c>
      <c r="C10" s="51">
        <f>'Ann 9'!C12+'Ann 9'!D12+'Ann 9'!E12</f>
        <v>1122000</v>
      </c>
      <c r="D10" s="52">
        <f>'Ann 9'!C13+'Ann 9'!D13+'Ann 9'!E13</f>
        <v>961500.00000000012</v>
      </c>
      <c r="E10" s="14">
        <f>'Ann 9'!C14+'Ann 9'!D14+'Ann 9'!E14</f>
        <v>824295.00000000012</v>
      </c>
      <c r="F10" s="14">
        <f>'Ann 9'!C15+'Ann 9'!D15+'Ann 9'!E15</f>
        <v>706968.75000000012</v>
      </c>
      <c r="G10" s="14">
        <f>'Ann 9'!C16+'Ann 9'!D16+'Ann 9'!E16</f>
        <v>606609.63750000007</v>
      </c>
      <c r="H10" s="14">
        <f>'Ann 9'!C17+'Ann 9'!D17+'Ann 9'!E17</f>
        <v>520735.77187500009</v>
      </c>
      <c r="I10" s="14">
        <f>+'Ann 9'!C18+'Ann 9'!D18+'Ann 9'!E18</f>
        <v>447231.22809375008</v>
      </c>
      <c r="J10" s="14">
        <f>'Ann 9'!C19+'Ann 9'!D19+'Ann 9'!E19</f>
        <v>384291.78367968759</v>
      </c>
      <c r="K10" s="14">
        <f>+'Ann 9'!C20+'Ann 9'!D20+'Ann 9'!E20</f>
        <v>330378.73194773443</v>
      </c>
    </row>
    <row r="11" spans="1:11" x14ac:dyDescent="0.6">
      <c r="A11" s="25"/>
      <c r="B11" s="26" t="s">
        <v>136</v>
      </c>
      <c r="C11" s="51">
        <f>C9-C10</f>
        <v>6878000.0000000009</v>
      </c>
      <c r="D11" s="52">
        <f>D9-D10</f>
        <v>5916500.0000000009</v>
      </c>
      <c r="E11" s="14">
        <f t="shared" ref="E11:K11" si="1">E9-E10</f>
        <v>5092205.0000000009</v>
      </c>
      <c r="F11" s="14">
        <f t="shared" si="1"/>
        <v>4385236.2500000009</v>
      </c>
      <c r="G11" s="14">
        <f t="shared" si="1"/>
        <v>3778626.6125000007</v>
      </c>
      <c r="H11" s="14">
        <f t="shared" si="1"/>
        <v>3257890.8406250007</v>
      </c>
      <c r="I11" s="14">
        <f t="shared" si="1"/>
        <v>2810659.6125312503</v>
      </c>
      <c r="J11" s="14">
        <f t="shared" si="1"/>
        <v>2426367.8288515629</v>
      </c>
      <c r="K11" s="14">
        <f t="shared" si="1"/>
        <v>2095989.0969038284</v>
      </c>
    </row>
    <row r="12" spans="1:11" x14ac:dyDescent="0.6">
      <c r="A12" s="25">
        <v>2</v>
      </c>
      <c r="B12" s="53" t="s">
        <v>203</v>
      </c>
      <c r="C12" s="51">
        <f>'Ann 4'!C12</f>
        <v>210000</v>
      </c>
      <c r="D12" s="51">
        <f>'Ann 4'!D12</f>
        <v>437500</v>
      </c>
      <c r="E12" s="51">
        <f>'Ann 4'!E12</f>
        <v>682500</v>
      </c>
      <c r="F12" s="51">
        <f>'Ann 4'!F12</f>
        <v>945000</v>
      </c>
      <c r="G12" s="51">
        <f>'Ann 4'!G12</f>
        <v>1225000</v>
      </c>
      <c r="H12" s="51">
        <f>'Ann 4'!H12</f>
        <v>927500</v>
      </c>
      <c r="I12" s="51">
        <f>'Ann 4'!I12</f>
        <v>612500</v>
      </c>
      <c r="J12" s="51">
        <f>'Ann 4'!J12</f>
        <v>280000</v>
      </c>
      <c r="K12" s="51">
        <f>'Ann 4'!K12</f>
        <v>0</v>
      </c>
    </row>
    <row r="13" spans="1:11" x14ac:dyDescent="0.6">
      <c r="A13" s="25">
        <v>3</v>
      </c>
      <c r="B13" s="26" t="s">
        <v>137</v>
      </c>
      <c r="C13" s="51">
        <f>'Ann 4'!C22*30/300</f>
        <v>2100000</v>
      </c>
      <c r="D13" s="51">
        <f>'Ann 4'!D22*30/300</f>
        <v>2484300</v>
      </c>
      <c r="E13" s="51">
        <f>'Ann 4'!E22*30/300</f>
        <v>2782416</v>
      </c>
      <c r="F13" s="51">
        <f>'Ann 4'!F22*30/300</f>
        <v>3100406.4</v>
      </c>
      <c r="G13" s="51">
        <f>'Ann 4'!G22*30/300</f>
        <v>3439384.1664000005</v>
      </c>
      <c r="H13" s="51">
        <f>'Ann 4'!H22*30/300</f>
        <v>3800519.5038720011</v>
      </c>
      <c r="I13" s="51">
        <f>'Ann 4'!I22*30/300</f>
        <v>4185042.6536755213</v>
      </c>
      <c r="J13" s="51">
        <f>'Ann 4'!J22*30/300</f>
        <v>4594246.8242571279</v>
      </c>
      <c r="K13" s="51">
        <f>'Ann 4'!K22*30/300</f>
        <v>5029491.2602393804</v>
      </c>
    </row>
    <row r="14" spans="1:11" x14ac:dyDescent="0.6">
      <c r="A14" s="25">
        <v>4</v>
      </c>
      <c r="B14" s="26" t="s">
        <v>138</v>
      </c>
      <c r="C14" s="54">
        <f>'Cash flows'!B16</f>
        <v>2244971.730769231</v>
      </c>
      <c r="D14" s="54">
        <f>'Cash flows'!C16</f>
        <v>2101907.1653846158</v>
      </c>
      <c r="E14" s="54">
        <f>'Cash flows'!D16</f>
        <v>2000100.9203076928</v>
      </c>
      <c r="F14" s="54">
        <f>'Cash flows'!E16</f>
        <v>1851491.9559684626</v>
      </c>
      <c r="G14" s="54">
        <f>'Cash flows'!F16</f>
        <v>1670160.415157723</v>
      </c>
      <c r="H14" s="54">
        <f>'Cash flows'!G16</f>
        <v>1977868.5325060494</v>
      </c>
      <c r="I14" s="54">
        <f>'Cash flows'!H16</f>
        <v>2303705.7850682</v>
      </c>
      <c r="J14" s="54">
        <f>'Cash flows'!I16</f>
        <v>3757590.663396759</v>
      </c>
      <c r="K14" s="54">
        <f>'Cash flows'!J16</f>
        <v>5172921.7461055182</v>
      </c>
    </row>
    <row r="15" spans="1:11" x14ac:dyDescent="0.6">
      <c r="A15" s="25"/>
      <c r="B15" s="26" t="s">
        <v>146</v>
      </c>
      <c r="C15" s="51">
        <f t="shared" ref="C15:K15" si="2">SUM(C11:C14)</f>
        <v>11432971.730769232</v>
      </c>
      <c r="D15" s="51">
        <f t="shared" si="2"/>
        <v>10940207.165384617</v>
      </c>
      <c r="E15" s="55">
        <f t="shared" si="2"/>
        <v>10557221.920307692</v>
      </c>
      <c r="F15" s="55">
        <f t="shared" si="2"/>
        <v>10282134.605968462</v>
      </c>
      <c r="G15" s="55">
        <f t="shared" si="2"/>
        <v>10113171.194057724</v>
      </c>
      <c r="H15" s="55">
        <f t="shared" si="2"/>
        <v>9963778.8770030513</v>
      </c>
      <c r="I15" s="55">
        <f t="shared" si="2"/>
        <v>9911908.0512749702</v>
      </c>
      <c r="J15" s="55">
        <f t="shared" si="2"/>
        <v>11058205.316505451</v>
      </c>
      <c r="K15" s="55">
        <f t="shared" si="2"/>
        <v>12298402.103248727</v>
      </c>
    </row>
    <row r="16" spans="1:11" x14ac:dyDescent="0.6">
      <c r="A16" s="25"/>
      <c r="B16" s="26"/>
      <c r="C16" s="51"/>
      <c r="D16" s="51"/>
      <c r="E16" s="55"/>
      <c r="F16" s="55"/>
      <c r="G16" s="55"/>
      <c r="H16" s="55"/>
      <c r="I16" s="55"/>
      <c r="J16" s="55"/>
      <c r="K16" s="55"/>
    </row>
    <row r="17" spans="1:13" x14ac:dyDescent="0.6">
      <c r="A17" s="25" t="s">
        <v>166</v>
      </c>
      <c r="B17" s="56" t="s">
        <v>139</v>
      </c>
      <c r="C17" s="10"/>
      <c r="D17" s="10"/>
      <c r="E17" s="11"/>
      <c r="F17" s="11"/>
      <c r="G17" s="11"/>
      <c r="H17" s="11"/>
      <c r="I17" s="11"/>
      <c r="J17" s="11"/>
      <c r="K17" s="11"/>
    </row>
    <row r="18" spans="1:13" x14ac:dyDescent="0.6">
      <c r="A18" s="25">
        <v>1</v>
      </c>
      <c r="B18" s="26" t="s">
        <v>140</v>
      </c>
      <c r="C18" s="54">
        <f>'Ann 2'!C4*100000</f>
        <v>910000</v>
      </c>
      <c r="D18" s="54">
        <f>C21</f>
        <v>496048.65384615387</v>
      </c>
      <c r="E18" s="35">
        <f t="shared" ref="E18:K18" si="3">D21</f>
        <v>655687.93461538409</v>
      </c>
      <c r="F18" s="35">
        <f t="shared" si="3"/>
        <v>887981.53569230647</v>
      </c>
      <c r="G18" s="35">
        <f t="shared" si="3"/>
        <v>1188469.9425069215</v>
      </c>
      <c r="H18" s="35">
        <f t="shared" si="3"/>
        <v>1552636.0017500296</v>
      </c>
      <c r="I18" s="35">
        <f t="shared" si="3"/>
        <v>1891008.7261617046</v>
      </c>
      <c r="J18" s="35">
        <f t="shared" si="3"/>
        <v>2278434.6301812166</v>
      </c>
      <c r="K18" s="35">
        <f t="shared" si="3"/>
        <v>2706105.6081265416</v>
      </c>
    </row>
    <row r="19" spans="1:13" x14ac:dyDescent="0.6">
      <c r="A19" s="25"/>
      <c r="B19" s="26" t="s">
        <v>141</v>
      </c>
      <c r="C19" s="54">
        <f>'Ann 4'!C37</f>
        <v>-413951.34615384613</v>
      </c>
      <c r="D19" s="54">
        <f>'Ann 4'!D37</f>
        <v>159639.28076923022</v>
      </c>
      <c r="E19" s="35">
        <f>'Ann 4'!E37</f>
        <v>232293.60107692238</v>
      </c>
      <c r="F19" s="35">
        <f>'Ann 4'!F37</f>
        <v>300488.40681461501</v>
      </c>
      <c r="G19" s="35">
        <f>'Ann 4'!G37</f>
        <v>364166.05924310815</v>
      </c>
      <c r="H19" s="35">
        <f>'Ann 4'!H37</f>
        <v>338372.72441167501</v>
      </c>
      <c r="I19" s="35">
        <f>'Ann 4'!I37</f>
        <v>387425.90401951177</v>
      </c>
      <c r="J19" s="35">
        <f>'Ann 4'!J37</f>
        <v>427670.97794532496</v>
      </c>
      <c r="K19" s="35">
        <f>'Ann 4'!K37</f>
        <v>466291.55428233324</v>
      </c>
    </row>
    <row r="20" spans="1:13" x14ac:dyDescent="0.6">
      <c r="A20" s="25"/>
      <c r="B20" s="26" t="s">
        <v>142</v>
      </c>
      <c r="C20" s="54">
        <v>0</v>
      </c>
      <c r="D20" s="5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3" x14ac:dyDescent="0.6">
      <c r="A21" s="25"/>
      <c r="B21" s="26" t="s">
        <v>143</v>
      </c>
      <c r="C21" s="54">
        <f>C18+C19</f>
        <v>496048.65384615387</v>
      </c>
      <c r="D21" s="54">
        <f t="shared" ref="D21:K21" si="4">D18+D19</f>
        <v>655687.93461538409</v>
      </c>
      <c r="E21" s="35">
        <f t="shared" si="4"/>
        <v>887981.53569230647</v>
      </c>
      <c r="F21" s="35">
        <f t="shared" si="4"/>
        <v>1188469.9425069215</v>
      </c>
      <c r="G21" s="35">
        <f t="shared" si="4"/>
        <v>1552636.0017500296</v>
      </c>
      <c r="H21" s="35">
        <f t="shared" si="4"/>
        <v>1891008.7261617046</v>
      </c>
      <c r="I21" s="35">
        <f t="shared" si="4"/>
        <v>2278434.6301812166</v>
      </c>
      <c r="J21" s="35">
        <f t="shared" si="4"/>
        <v>2706105.6081265416</v>
      </c>
      <c r="K21" s="35">
        <f t="shared" si="4"/>
        <v>3172397.1624088748</v>
      </c>
    </row>
    <row r="22" spans="1:13" x14ac:dyDescent="0.6">
      <c r="A22" s="25">
        <v>2</v>
      </c>
      <c r="B22" s="26" t="s">
        <v>144</v>
      </c>
      <c r="C22" s="54">
        <f>'Ann 13'!C13*100000</f>
        <v>6636923.076923077</v>
      </c>
      <c r="D22" s="54">
        <f>'Ann 13'!C17*100000</f>
        <v>5530769.2307692291</v>
      </c>
      <c r="E22" s="54">
        <f>'Ann 13'!C21*100000</f>
        <v>4424615.3846153812</v>
      </c>
      <c r="F22" s="54">
        <f>'Ann 13'!C25*100000</f>
        <v>3318461.5384615343</v>
      </c>
      <c r="G22" s="35">
        <f>('Ann 13'!C28-'Ann 13'!D28)*100000</f>
        <v>2212307.6923076878</v>
      </c>
      <c r="H22" s="35">
        <f>('Ann 13'!C32-'Ann 13'!D32)*100000</f>
        <v>1106153.8461538418</v>
      </c>
      <c r="I22" s="35">
        <v>0</v>
      </c>
      <c r="J22" s="35">
        <v>0</v>
      </c>
      <c r="K22" s="35">
        <v>0</v>
      </c>
    </row>
    <row r="23" spans="1:13" x14ac:dyDescent="0.6">
      <c r="A23" s="25">
        <v>3</v>
      </c>
      <c r="B23" s="53" t="s">
        <v>180</v>
      </c>
      <c r="C23" s="54">
        <v>1000000</v>
      </c>
      <c r="D23" s="54">
        <v>1000000</v>
      </c>
      <c r="E23" s="54">
        <v>1000000</v>
      </c>
      <c r="F23" s="54">
        <v>1000000</v>
      </c>
      <c r="G23" s="54">
        <v>1000000</v>
      </c>
      <c r="H23" s="54">
        <v>1000000</v>
      </c>
      <c r="I23" s="54">
        <v>1000000</v>
      </c>
      <c r="J23" s="54">
        <v>1000000</v>
      </c>
      <c r="K23" s="54">
        <v>1000000</v>
      </c>
    </row>
    <row r="24" spans="1:13" x14ac:dyDescent="0.6">
      <c r="A24" s="25">
        <v>4</v>
      </c>
      <c r="B24" s="53" t="s">
        <v>174</v>
      </c>
      <c r="C24" s="54">
        <f>'Ann 4'!C7*60/300</f>
        <v>3300000.0000000005</v>
      </c>
      <c r="D24" s="54">
        <f>'Ann 4'!D7*60/300</f>
        <v>3753750.0000000009</v>
      </c>
      <c r="E24" s="54">
        <f>'Ann 4'!E7*60/300</f>
        <v>4244625.0000000009</v>
      </c>
      <c r="F24" s="54">
        <f>'Ann 4'!F7*60/300</f>
        <v>4775203.1250000009</v>
      </c>
      <c r="G24" s="54">
        <f>'Ann 4'!G7*60/300</f>
        <v>5348227.5</v>
      </c>
      <c r="H24" s="54">
        <f>'Ann 4'!H7*60/300</f>
        <v>5966616.3046875</v>
      </c>
      <c r="I24" s="54">
        <f>'Ann 4'!I7*60/300</f>
        <v>6633473.4210937498</v>
      </c>
      <c r="J24" s="54">
        <f>'Ann 4'!J7*60/300</f>
        <v>7352099.7083789064</v>
      </c>
      <c r="K24" s="54">
        <f>'Ann 4'!K7*60/300</f>
        <v>8126004.9408398438</v>
      </c>
    </row>
    <row r="25" spans="1:13" x14ac:dyDescent="0.6">
      <c r="A25" s="25"/>
      <c r="B25" s="26" t="s">
        <v>145</v>
      </c>
      <c r="C25" s="51">
        <f t="shared" ref="C25:K25" si="5">SUM(C21:C24)</f>
        <v>11432971.730769232</v>
      </c>
      <c r="D25" s="51">
        <f t="shared" si="5"/>
        <v>10940207.165384613</v>
      </c>
      <c r="E25" s="51">
        <f t="shared" si="5"/>
        <v>10557221.920307688</v>
      </c>
      <c r="F25" s="51">
        <f t="shared" si="5"/>
        <v>10282134.605968457</v>
      </c>
      <c r="G25" s="51">
        <f t="shared" si="5"/>
        <v>10113171.194057718</v>
      </c>
      <c r="H25" s="51">
        <f t="shared" si="5"/>
        <v>9963778.8770030476</v>
      </c>
      <c r="I25" s="51">
        <f t="shared" si="5"/>
        <v>9911908.0512749664</v>
      </c>
      <c r="J25" s="51">
        <f t="shared" si="5"/>
        <v>11058205.316505447</v>
      </c>
      <c r="K25" s="51">
        <f t="shared" si="5"/>
        <v>12298402.103248719</v>
      </c>
    </row>
    <row r="26" spans="1:13" x14ac:dyDescent="0.6">
      <c r="A26" s="25"/>
      <c r="B26" s="26"/>
      <c r="C26" s="51"/>
      <c r="D26" s="51"/>
      <c r="E26" s="51"/>
      <c r="F26" s="51"/>
      <c r="G26" s="51"/>
      <c r="H26" s="51"/>
      <c r="I26" s="51"/>
      <c r="J26" s="51"/>
      <c r="K26" s="51"/>
      <c r="L26" s="57"/>
      <c r="M26" s="26"/>
    </row>
    <row r="27" spans="1:13" x14ac:dyDescent="0.6">
      <c r="A27" s="58"/>
      <c r="B27" s="59" t="s">
        <v>147</v>
      </c>
      <c r="C27" s="60"/>
      <c r="D27" s="60"/>
      <c r="E27" s="61"/>
      <c r="F27" s="61"/>
      <c r="G27" s="61"/>
      <c r="H27" s="61"/>
      <c r="I27" s="61"/>
      <c r="J27" s="61"/>
      <c r="K27" s="61"/>
    </row>
    <row r="28" spans="1:13" x14ac:dyDescent="0.6">
      <c r="A28" s="25"/>
      <c r="B28" s="26" t="s">
        <v>148</v>
      </c>
      <c r="C28" s="51">
        <f t="shared" ref="C28:K28" si="6">SUM(C13:C14)</f>
        <v>4344971.730769231</v>
      </c>
      <c r="D28" s="51">
        <f t="shared" si="6"/>
        <v>4586207.1653846158</v>
      </c>
      <c r="E28" s="55">
        <f t="shared" si="6"/>
        <v>4782516.9203076931</v>
      </c>
      <c r="F28" s="55">
        <f t="shared" si="6"/>
        <v>4951898.3559684623</v>
      </c>
      <c r="G28" s="55">
        <f t="shared" si="6"/>
        <v>5109544.5815577237</v>
      </c>
      <c r="H28" s="55">
        <f t="shared" si="6"/>
        <v>5778388.0363780502</v>
      </c>
      <c r="I28" s="55">
        <f t="shared" si="6"/>
        <v>6488748.4387437217</v>
      </c>
      <c r="J28" s="55">
        <f t="shared" si="6"/>
        <v>8351837.4876538869</v>
      </c>
      <c r="K28" s="55">
        <f t="shared" si="6"/>
        <v>10202413.0063449</v>
      </c>
    </row>
    <row r="29" spans="1:13" x14ac:dyDescent="0.6">
      <c r="A29" s="25"/>
      <c r="B29" s="26" t="s">
        <v>149</v>
      </c>
      <c r="C29" s="51">
        <f>C24</f>
        <v>3300000.0000000005</v>
      </c>
      <c r="D29" s="51">
        <f t="shared" ref="D29:K29" si="7">D24</f>
        <v>3753750.0000000009</v>
      </c>
      <c r="E29" s="51">
        <f t="shared" si="7"/>
        <v>4244625.0000000009</v>
      </c>
      <c r="F29" s="51">
        <f t="shared" si="7"/>
        <v>4775203.1250000009</v>
      </c>
      <c r="G29" s="51">
        <f t="shared" si="7"/>
        <v>5348227.5</v>
      </c>
      <c r="H29" s="51">
        <f t="shared" si="7"/>
        <v>5966616.3046875</v>
      </c>
      <c r="I29" s="51">
        <f t="shared" si="7"/>
        <v>6633473.4210937498</v>
      </c>
      <c r="J29" s="51">
        <f t="shared" si="7"/>
        <v>7352099.7083789064</v>
      </c>
      <c r="K29" s="51">
        <f t="shared" si="7"/>
        <v>8126004.9408398438</v>
      </c>
    </row>
    <row r="30" spans="1:13" x14ac:dyDescent="0.6">
      <c r="A30" s="25"/>
      <c r="B30" s="26" t="s">
        <v>154</v>
      </c>
      <c r="C30" s="10">
        <f>C28/C29</f>
        <v>1.3166581002331001</v>
      </c>
      <c r="D30" s="10">
        <f>D28/D29</f>
        <v>1.2217668106252719</v>
      </c>
      <c r="E30" s="11">
        <f t="shared" ref="E30:K30" si="8">E28/E29</f>
        <v>1.126723072193113</v>
      </c>
      <c r="F30" s="11">
        <f t="shared" si="8"/>
        <v>1.0370026627858813</v>
      </c>
      <c r="G30" s="11">
        <f t="shared" si="8"/>
        <v>0.95537158461522509</v>
      </c>
      <c r="H30" s="11">
        <f t="shared" si="8"/>
        <v>0.96845309657978618</v>
      </c>
      <c r="I30" s="11">
        <f t="shared" si="8"/>
        <v>0.97818262422069591</v>
      </c>
      <c r="J30" s="11">
        <f t="shared" si="8"/>
        <v>1.1359798994749237</v>
      </c>
      <c r="K30" s="11">
        <f t="shared" si="8"/>
        <v>1.2555263109759387</v>
      </c>
    </row>
    <row r="31" spans="1:13" x14ac:dyDescent="0.6">
      <c r="A31" s="25"/>
      <c r="B31" s="26"/>
      <c r="C31" s="10"/>
      <c r="D31" s="10"/>
      <c r="E31" s="11"/>
      <c r="F31" s="11">
        <f>AVERAGE(C30:K30)</f>
        <v>1.1106293513004373</v>
      </c>
      <c r="G31" s="11"/>
      <c r="H31" s="11"/>
      <c r="I31" s="11"/>
      <c r="J31" s="11"/>
      <c r="K31" s="11"/>
    </row>
    <row r="32" spans="1:13" x14ac:dyDescent="0.6">
      <c r="A32" s="58"/>
      <c r="B32" s="59" t="s">
        <v>151</v>
      </c>
      <c r="C32" s="60"/>
      <c r="D32" s="60"/>
      <c r="E32" s="61"/>
      <c r="F32" s="61"/>
      <c r="G32" s="61"/>
      <c r="H32" s="61"/>
      <c r="I32" s="61"/>
      <c r="J32" s="61"/>
      <c r="K32" s="61"/>
    </row>
    <row r="33" spans="1:11" x14ac:dyDescent="0.6">
      <c r="A33" s="25"/>
      <c r="B33" s="26" t="s">
        <v>152</v>
      </c>
      <c r="C33" s="51">
        <f t="shared" ref="C33:K33" si="9">C22</f>
        <v>6636923.076923077</v>
      </c>
      <c r="D33" s="51">
        <f t="shared" si="9"/>
        <v>5530769.2307692291</v>
      </c>
      <c r="E33" s="55">
        <f t="shared" si="9"/>
        <v>4424615.3846153812</v>
      </c>
      <c r="F33" s="55">
        <f t="shared" si="9"/>
        <v>3318461.5384615343</v>
      </c>
      <c r="G33" s="55">
        <f t="shared" si="9"/>
        <v>2212307.6923076878</v>
      </c>
      <c r="H33" s="55">
        <f t="shared" si="9"/>
        <v>1106153.8461538418</v>
      </c>
      <c r="I33" s="55">
        <f t="shared" si="9"/>
        <v>0</v>
      </c>
      <c r="J33" s="55">
        <f t="shared" si="9"/>
        <v>0</v>
      </c>
      <c r="K33" s="55">
        <f t="shared" si="9"/>
        <v>0</v>
      </c>
    </row>
    <row r="34" spans="1:11" x14ac:dyDescent="0.6">
      <c r="A34" s="25"/>
      <c r="B34" s="26" t="s">
        <v>153</v>
      </c>
      <c r="C34" s="51">
        <f t="shared" ref="C34:K34" si="10">C21</f>
        <v>496048.65384615387</v>
      </c>
      <c r="D34" s="51">
        <f t="shared" si="10"/>
        <v>655687.93461538409</v>
      </c>
      <c r="E34" s="55">
        <f t="shared" si="10"/>
        <v>887981.53569230647</v>
      </c>
      <c r="F34" s="55">
        <f t="shared" si="10"/>
        <v>1188469.9425069215</v>
      </c>
      <c r="G34" s="55">
        <f t="shared" si="10"/>
        <v>1552636.0017500296</v>
      </c>
      <c r="H34" s="55">
        <f t="shared" si="10"/>
        <v>1891008.7261617046</v>
      </c>
      <c r="I34" s="55">
        <f t="shared" si="10"/>
        <v>2278434.6301812166</v>
      </c>
      <c r="J34" s="55">
        <f t="shared" si="10"/>
        <v>2706105.6081265416</v>
      </c>
      <c r="K34" s="55">
        <f t="shared" si="10"/>
        <v>3172397.1624088748</v>
      </c>
    </row>
    <row r="35" spans="1:11" x14ac:dyDescent="0.6">
      <c r="A35" s="25"/>
      <c r="B35" s="26" t="s">
        <v>154</v>
      </c>
      <c r="C35" s="10">
        <f>C33/C34</f>
        <v>13.379580864625174</v>
      </c>
      <c r="D35" s="10">
        <f t="shared" ref="D35:K35" si="11">D33/D34</f>
        <v>8.4350632957940412</v>
      </c>
      <c r="E35" s="11">
        <f t="shared" si="11"/>
        <v>4.9827785902842807</v>
      </c>
      <c r="F35" s="11">
        <f t="shared" si="11"/>
        <v>2.7922132649494484</v>
      </c>
      <c r="G35" s="11">
        <f t="shared" si="11"/>
        <v>1.4248720819394369</v>
      </c>
      <c r="H35" s="11">
        <f t="shared" si="11"/>
        <v>0.58495438484785289</v>
      </c>
      <c r="I35" s="55">
        <f t="shared" si="11"/>
        <v>0</v>
      </c>
      <c r="J35" s="55">
        <f t="shared" si="11"/>
        <v>0</v>
      </c>
      <c r="K35" s="55">
        <f t="shared" si="11"/>
        <v>0</v>
      </c>
    </row>
    <row r="36" spans="1:11" x14ac:dyDescent="0.6">
      <c r="A36" s="25"/>
      <c r="B36" s="53" t="s">
        <v>167</v>
      </c>
      <c r="C36" s="10"/>
      <c r="D36" s="10"/>
      <c r="E36" s="11"/>
      <c r="F36" s="11">
        <f>AVERAGE(C35:K35)</f>
        <v>3.5110513869378033</v>
      </c>
      <c r="G36" s="11"/>
      <c r="H36" s="11"/>
      <c r="I36" s="55"/>
      <c r="J36" s="55"/>
      <c r="K36" s="55"/>
    </row>
    <row r="37" spans="1:11" x14ac:dyDescent="0.6">
      <c r="A37" s="25"/>
      <c r="B37" s="26"/>
      <c r="C37" s="10"/>
      <c r="D37" s="10"/>
      <c r="E37" s="11"/>
      <c r="F37" s="11"/>
      <c r="G37" s="11"/>
      <c r="H37" s="11"/>
      <c r="I37" s="55"/>
      <c r="J37" s="55"/>
      <c r="K37" s="55"/>
    </row>
    <row r="38" spans="1:11" x14ac:dyDescent="0.6">
      <c r="A38" s="58"/>
      <c r="B38" s="59" t="s">
        <v>168</v>
      </c>
      <c r="C38" s="60"/>
      <c r="D38" s="60"/>
      <c r="E38" s="61"/>
      <c r="F38" s="61"/>
      <c r="G38" s="61"/>
      <c r="H38" s="61"/>
      <c r="I38" s="62"/>
      <c r="J38" s="62"/>
      <c r="K38" s="62"/>
    </row>
    <row r="39" spans="1:11" x14ac:dyDescent="0.6">
      <c r="A39" s="25"/>
      <c r="B39" s="53" t="s">
        <v>169</v>
      </c>
      <c r="C39" s="51">
        <f t="shared" ref="C39:K39" si="12">C11</f>
        <v>6878000.0000000009</v>
      </c>
      <c r="D39" s="51">
        <f t="shared" si="12"/>
        <v>5916500.0000000009</v>
      </c>
      <c r="E39" s="51">
        <f t="shared" si="12"/>
        <v>5092205.0000000009</v>
      </c>
      <c r="F39" s="51">
        <f t="shared" si="12"/>
        <v>4385236.2500000009</v>
      </c>
      <c r="G39" s="51">
        <f t="shared" si="12"/>
        <v>3778626.6125000007</v>
      </c>
      <c r="H39" s="51">
        <f t="shared" si="12"/>
        <v>3257890.8406250007</v>
      </c>
      <c r="I39" s="51">
        <f t="shared" si="12"/>
        <v>2810659.6125312503</v>
      </c>
      <c r="J39" s="51">
        <f t="shared" si="12"/>
        <v>2426367.8288515629</v>
      </c>
      <c r="K39" s="51">
        <f t="shared" si="12"/>
        <v>2095989.0969038284</v>
      </c>
    </row>
    <row r="40" spans="1:11" x14ac:dyDescent="0.6">
      <c r="A40" s="25"/>
      <c r="B40" s="53" t="s">
        <v>152</v>
      </c>
      <c r="C40" s="51">
        <f>C22+C23</f>
        <v>7636923.076923077</v>
      </c>
      <c r="D40" s="51">
        <f t="shared" ref="D40:K40" si="13">D22+D23</f>
        <v>6530769.2307692291</v>
      </c>
      <c r="E40" s="51">
        <f t="shared" si="13"/>
        <v>5424615.3846153812</v>
      </c>
      <c r="F40" s="51">
        <f t="shared" si="13"/>
        <v>4318461.5384615343</v>
      </c>
      <c r="G40" s="51">
        <f t="shared" si="13"/>
        <v>3212307.6923076878</v>
      </c>
      <c r="H40" s="51">
        <f t="shared" si="13"/>
        <v>2106153.8461538418</v>
      </c>
      <c r="I40" s="51">
        <f t="shared" si="13"/>
        <v>1000000</v>
      </c>
      <c r="J40" s="51">
        <f t="shared" si="13"/>
        <v>1000000</v>
      </c>
      <c r="K40" s="51">
        <f t="shared" si="13"/>
        <v>1000000</v>
      </c>
    </row>
    <row r="41" spans="1:11" x14ac:dyDescent="0.6">
      <c r="A41" s="25"/>
      <c r="B41" s="53" t="s">
        <v>163</v>
      </c>
      <c r="C41" s="10">
        <f>C39/C40</f>
        <v>0.90062449637389208</v>
      </c>
      <c r="D41" s="10">
        <f t="shared" ref="D41:K41" si="14">D39/D40</f>
        <v>0.90594228504122531</v>
      </c>
      <c r="E41" s="10">
        <f t="shared" si="14"/>
        <v>0.93872185195689239</v>
      </c>
      <c r="F41" s="10">
        <f t="shared" si="14"/>
        <v>1.0154626157819748</v>
      </c>
      <c r="G41" s="10">
        <f t="shared" si="14"/>
        <v>1.1762965987188716</v>
      </c>
      <c r="H41" s="10">
        <f t="shared" si="14"/>
        <v>1.5468437154172789</v>
      </c>
      <c r="I41" s="10">
        <f t="shared" si="14"/>
        <v>2.8106596125312504</v>
      </c>
      <c r="J41" s="10">
        <f t="shared" si="14"/>
        <v>2.4263678288515629</v>
      </c>
      <c r="K41" s="10">
        <f t="shared" si="14"/>
        <v>2.0959890969038284</v>
      </c>
    </row>
    <row r="42" spans="1:11" x14ac:dyDescent="0.6">
      <c r="A42" s="25"/>
      <c r="B42" s="53" t="s">
        <v>167</v>
      </c>
      <c r="C42" s="10"/>
      <c r="D42" s="10"/>
      <c r="E42" s="11"/>
      <c r="F42" s="11">
        <f>AVERAGE(C41:K41)</f>
        <v>1.5352120112863086</v>
      </c>
      <c r="G42" s="11"/>
      <c r="H42" s="11"/>
      <c r="I42" s="11"/>
      <c r="J42" s="11"/>
      <c r="K42" s="11"/>
    </row>
    <row r="43" spans="1:11" x14ac:dyDescent="0.6">
      <c r="A43" s="25"/>
      <c r="B43" s="26"/>
      <c r="C43" s="10"/>
      <c r="D43" s="10"/>
      <c r="E43" s="11"/>
      <c r="F43" s="11"/>
      <c r="G43" s="11"/>
      <c r="H43" s="11"/>
      <c r="I43" s="55"/>
      <c r="J43" s="55"/>
      <c r="K43" s="55"/>
    </row>
    <row r="44" spans="1:11" x14ac:dyDescent="0.6">
      <c r="A44" s="58"/>
      <c r="B44" s="59" t="s">
        <v>160</v>
      </c>
      <c r="C44" s="60"/>
      <c r="D44" s="60"/>
      <c r="E44" s="61"/>
      <c r="F44" s="61"/>
      <c r="G44" s="61"/>
      <c r="H44" s="61"/>
      <c r="I44" s="62"/>
      <c r="J44" s="62"/>
      <c r="K44" s="62"/>
    </row>
    <row r="45" spans="1:11" x14ac:dyDescent="0.6">
      <c r="A45" s="25"/>
      <c r="B45" s="26" t="s">
        <v>161</v>
      </c>
      <c r="C45" s="54">
        <f>'Ann 4'!C28</f>
        <v>527251.92307692301</v>
      </c>
      <c r="D45" s="54">
        <f>'Ann 4'!D28</f>
        <v>473326.92307692301</v>
      </c>
      <c r="E45" s="54">
        <f>'Ann 4'!E28</f>
        <v>406957.69230769214</v>
      </c>
      <c r="F45" s="54">
        <f>'Ann 4'!F28</f>
        <v>340588.46153846127</v>
      </c>
      <c r="G45" s="54">
        <f>'Ann 4'!G28</f>
        <v>274219.23076923052</v>
      </c>
      <c r="H45" s="54">
        <f>'Ann 4'!H28</f>
        <v>207849.99999999974</v>
      </c>
      <c r="I45" s="54">
        <f>'Ann 4'!I28</f>
        <v>141480.76923076896</v>
      </c>
      <c r="J45" s="54">
        <f>'Ann 4'!J28</f>
        <v>100000</v>
      </c>
      <c r="K45" s="54">
        <f>'Ann 4'!K28</f>
        <v>100000</v>
      </c>
    </row>
    <row r="46" spans="1:11" x14ac:dyDescent="0.6">
      <c r="A46" s="25"/>
      <c r="B46" s="26" t="s">
        <v>164</v>
      </c>
      <c r="C46" s="54">
        <f>SUM('Ann 13'!D9:D12)*100000</f>
        <v>553076.92307692312</v>
      </c>
      <c r="D46" s="54">
        <f>SUM('Ann 13'!D13:D16)*100000</f>
        <v>1106153.8461538462</v>
      </c>
      <c r="E46" s="35">
        <f>SUM('Ann 13'!D17:D20)*100000</f>
        <v>1106153.8461538462</v>
      </c>
      <c r="F46" s="35">
        <f>SUM('Ann 13'!D21:D24)*100000</f>
        <v>1106153.8461538462</v>
      </c>
      <c r="G46" s="35">
        <f>SUM('Ann 13'!D25:D28)*100000</f>
        <v>1106153.8461538462</v>
      </c>
      <c r="H46" s="35">
        <f>SUM('Ann 13'!D29:D32)*100000</f>
        <v>1106153.8461538462</v>
      </c>
      <c r="I46" s="35">
        <f>SUM('Ann 13'!D33:D36)*100000</f>
        <v>1106153.8461538423</v>
      </c>
      <c r="J46" s="35">
        <v>0</v>
      </c>
      <c r="K46" s="35">
        <v>0</v>
      </c>
    </row>
    <row r="47" spans="1:11" x14ac:dyDescent="0.6">
      <c r="A47" s="25"/>
      <c r="B47" s="26" t="s">
        <v>8</v>
      </c>
      <c r="C47" s="54">
        <f>SUM(C45:C46)</f>
        <v>1080328.846153846</v>
      </c>
      <c r="D47" s="54">
        <f t="shared" ref="D47:K47" si="15">SUM(D45:D46)</f>
        <v>1579480.7692307692</v>
      </c>
      <c r="E47" s="35">
        <f t="shared" si="15"/>
        <v>1513111.5384615385</v>
      </c>
      <c r="F47" s="35">
        <f t="shared" si="15"/>
        <v>1446742.3076923075</v>
      </c>
      <c r="G47" s="35">
        <f t="shared" si="15"/>
        <v>1380373.0769230768</v>
      </c>
      <c r="H47" s="35">
        <f t="shared" si="15"/>
        <v>1314003.846153846</v>
      </c>
      <c r="I47" s="35">
        <f t="shared" si="15"/>
        <v>1247634.6153846113</v>
      </c>
      <c r="J47" s="35">
        <f t="shared" si="15"/>
        <v>100000</v>
      </c>
      <c r="K47" s="35">
        <f t="shared" si="15"/>
        <v>100000</v>
      </c>
    </row>
    <row r="48" spans="1:11" x14ac:dyDescent="0.6">
      <c r="A48" s="25"/>
      <c r="B48" s="26" t="s">
        <v>162</v>
      </c>
      <c r="C48" s="54">
        <f>'Ann 4'!C23</f>
        <v>1200750</v>
      </c>
      <c r="D48" s="54">
        <f>'Ann 4'!D23</f>
        <v>2575107.4999999963</v>
      </c>
      <c r="E48" s="35">
        <f>'Ann 4'!E23</f>
        <v>2890492.6999999955</v>
      </c>
      <c r="F48" s="35">
        <f>'Ann 4'!F23</f>
        <v>3193902.9744999968</v>
      </c>
      <c r="G48" s="35">
        <f>'Ann 4'!G23</f>
        <v>3482015.0057200044</v>
      </c>
      <c r="H48" s="35">
        <f>'Ann 4'!H23</f>
        <v>3145533.8033869639</v>
      </c>
      <c r="I48" s="35">
        <f>'Ann 4'!I23</f>
        <v>3356039.8831781745</v>
      </c>
      <c r="J48" s="35">
        <f>'Ann 4'!J23</f>
        <v>3539084.4832891524</v>
      </c>
      <c r="K48" s="35">
        <f>'Ann 4'!K23</f>
        <v>3761032.6911072582</v>
      </c>
    </row>
    <row r="49" spans="1:11" x14ac:dyDescent="0.6">
      <c r="A49" s="25"/>
      <c r="B49" s="26" t="s">
        <v>163</v>
      </c>
      <c r="C49" s="10">
        <f>C48/C47</f>
        <v>1.1114671280646387</v>
      </c>
      <c r="D49" s="10">
        <f t="shared" ref="D49:K49" si="16">D48/D47</f>
        <v>1.6303506507737426</v>
      </c>
      <c r="E49" s="11">
        <f t="shared" si="16"/>
        <v>1.9102971767295585</v>
      </c>
      <c r="F49" s="11">
        <f t="shared" si="16"/>
        <v>2.2076516028584092</v>
      </c>
      <c r="G49" s="11">
        <f t="shared" si="16"/>
        <v>2.5225173280556854</v>
      </c>
      <c r="H49" s="11">
        <f t="shared" si="16"/>
        <v>2.3938543350493959</v>
      </c>
      <c r="I49" s="11">
        <f t="shared" si="16"/>
        <v>2.6899220667611887</v>
      </c>
      <c r="J49" s="11">
        <f t="shared" si="16"/>
        <v>35.390844832891524</v>
      </c>
      <c r="K49" s="11">
        <f t="shared" si="16"/>
        <v>37.610326911072583</v>
      </c>
    </row>
    <row r="50" spans="1:11" ht="17.5" thickBot="1" x14ac:dyDescent="0.65">
      <c r="A50" s="63"/>
      <c r="B50" s="64" t="s">
        <v>167</v>
      </c>
      <c r="C50" s="65"/>
      <c r="D50" s="65"/>
      <c r="E50" s="66"/>
      <c r="F50" s="66">
        <f>AVERAGE(C49:D49)</f>
        <v>1.3709088894191908</v>
      </c>
      <c r="G50" s="66"/>
      <c r="H50" s="66"/>
      <c r="I50" s="66"/>
      <c r="J50" s="66"/>
      <c r="K50" s="66"/>
    </row>
    <row r="51" spans="1:11" ht="17.5" thickTop="1" x14ac:dyDescent="0.6">
      <c r="I51" s="40"/>
      <c r="J51" s="40"/>
      <c r="K51" s="40"/>
    </row>
    <row r="53" spans="1:11" x14ac:dyDescent="0.6">
      <c r="A53" s="4" t="s">
        <v>256</v>
      </c>
    </row>
    <row r="54" spans="1:11" x14ac:dyDescent="0.6">
      <c r="A54" s="4" t="s">
        <v>150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4" sqref="A4"/>
    </sheetView>
  </sheetViews>
  <sheetFormatPr defaultRowHeight="17" x14ac:dyDescent="0.6"/>
  <cols>
    <col min="1" max="1" width="5.6328125" style="4" bestFit="1" customWidth="1"/>
    <col min="2" max="2" width="26.08984375" style="4" bestFit="1" customWidth="1"/>
    <col min="3" max="3" width="8.7265625" style="4"/>
    <col min="4" max="4" width="25" style="4" bestFit="1" customWidth="1"/>
    <col min="5" max="5" width="12.54296875" style="4" bestFit="1" customWidth="1"/>
    <col min="6" max="16384" width="8.7265625" style="4"/>
  </cols>
  <sheetData>
    <row r="1" spans="1:5" x14ac:dyDescent="0.6">
      <c r="A1" s="3" t="s">
        <v>299</v>
      </c>
    </row>
    <row r="3" spans="1:5" x14ac:dyDescent="0.6">
      <c r="A3" s="69" t="s">
        <v>172</v>
      </c>
    </row>
    <row r="5" spans="1:5" x14ac:dyDescent="0.6">
      <c r="A5" s="23" t="s">
        <v>56</v>
      </c>
      <c r="B5" s="23" t="s">
        <v>57</v>
      </c>
      <c r="C5" s="23" t="s">
        <v>58</v>
      </c>
      <c r="D5" s="23" t="s">
        <v>59</v>
      </c>
      <c r="E5" s="23" t="s">
        <v>285</v>
      </c>
    </row>
    <row r="6" spans="1:5" x14ac:dyDescent="0.6">
      <c r="A6" s="45" t="s">
        <v>60</v>
      </c>
      <c r="B6" s="45" t="s">
        <v>224</v>
      </c>
      <c r="C6" s="45">
        <v>3</v>
      </c>
      <c r="D6" s="44">
        <v>18000</v>
      </c>
      <c r="E6" s="44">
        <f>D6*C6*12</f>
        <v>648000</v>
      </c>
    </row>
    <row r="7" spans="1:5" x14ac:dyDescent="0.6">
      <c r="A7" s="5" t="s">
        <v>61</v>
      </c>
      <c r="B7" s="5" t="s">
        <v>64</v>
      </c>
      <c r="C7" s="5">
        <v>1</v>
      </c>
      <c r="D7" s="44">
        <v>26000</v>
      </c>
      <c r="E7" s="44">
        <f>D7*C7*12</f>
        <v>312000</v>
      </c>
    </row>
    <row r="8" spans="1:5" x14ac:dyDescent="0.6">
      <c r="A8" s="5" t="s">
        <v>65</v>
      </c>
      <c r="B8" s="5" t="s">
        <v>173</v>
      </c>
      <c r="C8" s="5">
        <v>1</v>
      </c>
      <c r="D8" s="44">
        <v>15000</v>
      </c>
      <c r="E8" s="44">
        <f>D8*C8*12</f>
        <v>180000</v>
      </c>
    </row>
    <row r="9" spans="1:5" x14ac:dyDescent="0.6">
      <c r="A9" s="104" t="s">
        <v>8</v>
      </c>
      <c r="B9" s="104"/>
      <c r="C9" s="104"/>
      <c r="D9" s="104"/>
      <c r="E9" s="71">
        <f>SUM(E6:E8)</f>
        <v>1140000</v>
      </c>
    </row>
    <row r="10" spans="1:5" x14ac:dyDescent="0.6">
      <c r="A10" s="47"/>
      <c r="B10" s="72"/>
      <c r="C10" s="72"/>
      <c r="D10" s="72"/>
      <c r="E10" s="50"/>
    </row>
    <row r="11" spans="1:5" x14ac:dyDescent="0.6">
      <c r="A11" s="73" t="s">
        <v>179</v>
      </c>
      <c r="B11" s="74"/>
      <c r="C11" s="74"/>
      <c r="D11" s="74"/>
      <c r="E11" s="75">
        <f>E9*20%</f>
        <v>228000</v>
      </c>
    </row>
    <row r="12" spans="1:5" x14ac:dyDescent="0.6">
      <c r="A12" s="30" t="s">
        <v>8</v>
      </c>
      <c r="B12" s="31"/>
      <c r="C12" s="31"/>
      <c r="D12" s="31"/>
      <c r="E12" s="76">
        <f>SUM(E9:E11)</f>
        <v>1368000</v>
      </c>
    </row>
    <row r="14" spans="1:5" x14ac:dyDescent="0.6">
      <c r="A14" s="4" t="s">
        <v>62</v>
      </c>
      <c r="E14" s="40">
        <f>E12</f>
        <v>1368000</v>
      </c>
    </row>
    <row r="15" spans="1:5" x14ac:dyDescent="0.6">
      <c r="A15" s="4" t="s">
        <v>63</v>
      </c>
      <c r="E15" s="77">
        <v>0.06</v>
      </c>
    </row>
    <row r="16" spans="1:5" x14ac:dyDescent="0.6">
      <c r="A16" s="4" t="s">
        <v>175</v>
      </c>
      <c r="E16" s="4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1"/>
  <sheetViews>
    <sheetView workbookViewId="0"/>
  </sheetViews>
  <sheetFormatPr defaultRowHeight="17" x14ac:dyDescent="0.6"/>
  <cols>
    <col min="1" max="1" width="4.54296875" style="4" bestFit="1" customWidth="1"/>
    <col min="2" max="2" width="18.81640625" style="4" bestFit="1" customWidth="1"/>
    <col min="3" max="3" width="19.453125" style="4" bestFit="1" customWidth="1"/>
    <col min="4" max="4" width="18.08984375" style="4" bestFit="1" customWidth="1"/>
    <col min="5" max="5" width="14.453125" style="4" bestFit="1" customWidth="1"/>
    <col min="6" max="6" width="26.453125" style="4" bestFit="1" customWidth="1"/>
    <col min="7" max="16384" width="8.7265625" style="4"/>
  </cols>
  <sheetData>
    <row r="1" spans="1:6" x14ac:dyDescent="0.6">
      <c r="A1" s="3" t="s">
        <v>67</v>
      </c>
    </row>
    <row r="3" spans="1:6" x14ac:dyDescent="0.6">
      <c r="A3" s="69" t="s">
        <v>66</v>
      </c>
    </row>
    <row r="5" spans="1:6" x14ac:dyDescent="0.6">
      <c r="A5" s="23" t="s">
        <v>24</v>
      </c>
      <c r="B5" s="23" t="s">
        <v>3</v>
      </c>
      <c r="C5" s="23" t="s">
        <v>70</v>
      </c>
      <c r="D5" s="23" t="s">
        <v>11</v>
      </c>
      <c r="E5" s="23" t="s">
        <v>71</v>
      </c>
      <c r="F5" s="23" t="s">
        <v>72</v>
      </c>
    </row>
    <row r="6" spans="1:6" x14ac:dyDescent="0.6">
      <c r="A6" s="5" t="s">
        <v>60</v>
      </c>
      <c r="B6" s="5" t="s">
        <v>13</v>
      </c>
      <c r="C6" s="44">
        <f>'Ann 1'!C12*100000</f>
        <v>1560000</v>
      </c>
      <c r="D6" s="44">
        <f>('Ann 1'!C20+'Ann 1'!C37)*100000</f>
        <v>6440000.0000000009</v>
      </c>
      <c r="E6" s="44">
        <v>0</v>
      </c>
      <c r="F6" s="5">
        <f>SUM(C6:E6)/100000</f>
        <v>80.000000000000014</v>
      </c>
    </row>
    <row r="7" spans="1:6" x14ac:dyDescent="0.6">
      <c r="A7" s="5" t="s">
        <v>61</v>
      </c>
      <c r="B7" s="5" t="s">
        <v>68</v>
      </c>
      <c r="C7" s="44">
        <v>0</v>
      </c>
      <c r="D7" s="44">
        <v>0</v>
      </c>
      <c r="E7" s="44">
        <v>0</v>
      </c>
      <c r="F7" s="44">
        <f>SUM(C7:E7)/100000</f>
        <v>0</v>
      </c>
    </row>
    <row r="8" spans="1:6" x14ac:dyDescent="0.6">
      <c r="A8" s="5" t="s">
        <v>65</v>
      </c>
      <c r="B8" s="5" t="s">
        <v>69</v>
      </c>
      <c r="C8" s="44">
        <v>0</v>
      </c>
      <c r="D8" s="44">
        <v>0</v>
      </c>
      <c r="E8" s="44">
        <v>0</v>
      </c>
      <c r="F8" s="44">
        <f>SUM(C8:E8)/100000</f>
        <v>0</v>
      </c>
    </row>
    <row r="9" spans="1:6" x14ac:dyDescent="0.6">
      <c r="A9" s="5"/>
      <c r="B9" s="104" t="s">
        <v>8</v>
      </c>
      <c r="C9" s="104"/>
      <c r="D9" s="104"/>
      <c r="E9" s="104"/>
      <c r="F9" s="5">
        <f>SUM(F6:F8)</f>
        <v>80.000000000000014</v>
      </c>
    </row>
    <row r="11" spans="1:6" x14ac:dyDescent="0.6">
      <c r="A11" s="23"/>
      <c r="B11" s="23" t="s">
        <v>73</v>
      </c>
      <c r="C11" s="80">
        <v>0.1</v>
      </c>
      <c r="D11" s="80">
        <v>0.15</v>
      </c>
      <c r="E11" s="80">
        <v>0.1</v>
      </c>
      <c r="F11" s="23" t="s">
        <v>223</v>
      </c>
    </row>
    <row r="12" spans="1:6" x14ac:dyDescent="0.6">
      <c r="A12" s="78" t="s">
        <v>74</v>
      </c>
      <c r="B12" s="70">
        <v>1</v>
      </c>
      <c r="C12" s="79">
        <f>C11*C6</f>
        <v>156000</v>
      </c>
      <c r="D12" s="79">
        <f>D11*D6</f>
        <v>966000.00000000012</v>
      </c>
      <c r="E12" s="79">
        <f>E11*E6</f>
        <v>0</v>
      </c>
      <c r="F12" s="79">
        <f>SUM(C12:E12)</f>
        <v>1122000</v>
      </c>
    </row>
    <row r="13" spans="1:6" x14ac:dyDescent="0.6">
      <c r="A13" s="78" t="s">
        <v>74</v>
      </c>
      <c r="B13" s="70">
        <v>2</v>
      </c>
      <c r="C13" s="79">
        <f>(C6-C12)*C11</f>
        <v>140400</v>
      </c>
      <c r="D13" s="79">
        <f>(D6-D12)*D11</f>
        <v>821100.00000000012</v>
      </c>
      <c r="E13" s="79">
        <f>(E6-E12)*E11</f>
        <v>0</v>
      </c>
      <c r="F13" s="79">
        <f>SUM(C13:E13)</f>
        <v>961500.00000000012</v>
      </c>
    </row>
    <row r="14" spans="1:6" x14ac:dyDescent="0.6">
      <c r="A14" s="78" t="s">
        <v>74</v>
      </c>
      <c r="B14" s="70">
        <v>3</v>
      </c>
      <c r="C14" s="79">
        <f>(C6-C12-C13)*C11</f>
        <v>126360</v>
      </c>
      <c r="D14" s="79">
        <f>(D6-D12-D13)*D11</f>
        <v>697935.00000000012</v>
      </c>
      <c r="E14" s="79">
        <f>(E6-E12-E13)*E11</f>
        <v>0</v>
      </c>
      <c r="F14" s="79">
        <f t="shared" ref="F14:F20" si="0">SUM(C14:E14)</f>
        <v>824295.00000000012</v>
      </c>
    </row>
    <row r="15" spans="1:6" x14ac:dyDescent="0.6">
      <c r="A15" s="78" t="s">
        <v>74</v>
      </c>
      <c r="B15" s="70">
        <v>4</v>
      </c>
      <c r="C15" s="79">
        <f>(C6-C12-C13-C14)*C11</f>
        <v>113724</v>
      </c>
      <c r="D15" s="79">
        <f>(D6-D12-D13-D14)*D11</f>
        <v>593244.75000000012</v>
      </c>
      <c r="E15" s="79">
        <f>(E6-E12-E13-E14)*E11</f>
        <v>0</v>
      </c>
      <c r="F15" s="79">
        <f t="shared" si="0"/>
        <v>706968.75000000012</v>
      </c>
    </row>
    <row r="16" spans="1:6" x14ac:dyDescent="0.6">
      <c r="A16" s="78" t="s">
        <v>74</v>
      </c>
      <c r="B16" s="70">
        <v>5</v>
      </c>
      <c r="C16" s="79">
        <f>(C6-C12-C13-C14-C15)*C11</f>
        <v>102351.6</v>
      </c>
      <c r="D16" s="79">
        <f>(D6-D12-D13-D14-D15)*D11</f>
        <v>504258.03750000009</v>
      </c>
      <c r="E16" s="79">
        <f>(E6-E12-E13-E14-E15)*E11</f>
        <v>0</v>
      </c>
      <c r="F16" s="79">
        <f t="shared" si="0"/>
        <v>606609.63750000007</v>
      </c>
    </row>
    <row r="17" spans="1:6" x14ac:dyDescent="0.6">
      <c r="A17" s="78" t="s">
        <v>74</v>
      </c>
      <c r="B17" s="70">
        <v>6</v>
      </c>
      <c r="C17" s="79">
        <f>(C6-C12-C13-C14-C15-C16)*C11</f>
        <v>92116.44</v>
      </c>
      <c r="D17" s="79">
        <f>(D6-D12-D13-D14-D15-D16)*D11</f>
        <v>428619.33187500009</v>
      </c>
      <c r="E17" s="79">
        <f>(E6-E12-E13-E14-E15-E16)*E11</f>
        <v>0</v>
      </c>
      <c r="F17" s="79">
        <f t="shared" si="0"/>
        <v>520735.77187500009</v>
      </c>
    </row>
    <row r="18" spans="1:6" x14ac:dyDescent="0.6">
      <c r="A18" s="78" t="s">
        <v>74</v>
      </c>
      <c r="B18" s="70">
        <v>7</v>
      </c>
      <c r="C18" s="79">
        <f>(C6-C12-C13-C14-C15-C16-C17)*C11</f>
        <v>82904.796000000002</v>
      </c>
      <c r="D18" s="79">
        <f>(D6-D12-D13-D14-D15-D16-D17)*D11</f>
        <v>364326.4320937501</v>
      </c>
      <c r="E18" s="79">
        <f>(E6-E12-E13-E14-E15-E16-E17)*E11</f>
        <v>0</v>
      </c>
      <c r="F18" s="79">
        <f t="shared" si="0"/>
        <v>447231.22809375008</v>
      </c>
    </row>
    <row r="19" spans="1:6" x14ac:dyDescent="0.6">
      <c r="A19" s="78" t="s">
        <v>74</v>
      </c>
      <c r="B19" s="70">
        <v>8</v>
      </c>
      <c r="C19" s="79">
        <f>(C6-C12-C13-C14-C15-C16-C17-C18)*C11</f>
        <v>74614.316399999996</v>
      </c>
      <c r="D19" s="79">
        <f>(D6-D12-D13-D14-D15-D16-D17-D18)*D11</f>
        <v>309677.46727968758</v>
      </c>
      <c r="E19" s="79">
        <f>(E6-E12-E13-E14-E15-E16-E17-E18)*E11</f>
        <v>0</v>
      </c>
      <c r="F19" s="79">
        <f t="shared" si="0"/>
        <v>384291.78367968759</v>
      </c>
    </row>
    <row r="20" spans="1:6" x14ac:dyDescent="0.6">
      <c r="A20" s="78" t="s">
        <v>74</v>
      </c>
      <c r="B20" s="70">
        <v>9</v>
      </c>
      <c r="C20" s="79">
        <f>(C6-C12-C13-C14-C15-C16-C17-C18-C19)*C11</f>
        <v>67152.884760000001</v>
      </c>
      <c r="D20" s="79">
        <f>(D6-D12-D13-D14-D15-D16-D17-D18-D19)*D11</f>
        <v>263225.84718773444</v>
      </c>
      <c r="E20" s="79">
        <f>(E6-E12-E13-E14-E15-E16-E17-E18-E19)*E11</f>
        <v>0</v>
      </c>
      <c r="F20" s="79">
        <f t="shared" si="0"/>
        <v>330378.73194773443</v>
      </c>
    </row>
    <row r="21" spans="1:6" x14ac:dyDescent="0.6">
      <c r="B21" s="19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12" sqref="B12"/>
    </sheetView>
  </sheetViews>
  <sheetFormatPr defaultRowHeight="17" x14ac:dyDescent="0.6"/>
  <cols>
    <col min="1" max="1" width="18" style="4" bestFit="1" customWidth="1"/>
    <col min="2" max="10" width="13.6328125" style="4" bestFit="1" customWidth="1"/>
    <col min="11" max="16384" width="8.7265625" style="4"/>
  </cols>
  <sheetData>
    <row r="1" spans="1:10" x14ac:dyDescent="0.6">
      <c r="A1" s="3" t="s">
        <v>120</v>
      </c>
    </row>
    <row r="3" spans="1:10" x14ac:dyDescent="0.6">
      <c r="A3" s="69" t="s">
        <v>121</v>
      </c>
    </row>
    <row r="5" spans="1:10" x14ac:dyDescent="0.6">
      <c r="A5" s="100" t="s">
        <v>3</v>
      </c>
      <c r="B5" s="100" t="s">
        <v>52</v>
      </c>
      <c r="C5" s="100"/>
      <c r="D5" s="100"/>
      <c r="E5" s="100"/>
      <c r="F5" s="100"/>
      <c r="G5" s="100"/>
      <c r="H5" s="100"/>
      <c r="I5" s="100"/>
      <c r="J5" s="100"/>
    </row>
    <row r="6" spans="1:10" x14ac:dyDescent="0.6">
      <c r="A6" s="100"/>
      <c r="B6" s="67" t="s">
        <v>43</v>
      </c>
      <c r="C6" s="67" t="s">
        <v>44</v>
      </c>
      <c r="D6" s="67" t="s">
        <v>45</v>
      </c>
      <c r="E6" s="67" t="s">
        <v>46</v>
      </c>
      <c r="F6" s="67" t="s">
        <v>47</v>
      </c>
      <c r="G6" s="67" t="s">
        <v>48</v>
      </c>
      <c r="H6" s="67" t="s">
        <v>49</v>
      </c>
      <c r="I6" s="67" t="s">
        <v>50</v>
      </c>
      <c r="J6" s="67" t="s">
        <v>51</v>
      </c>
    </row>
    <row r="7" spans="1:10" x14ac:dyDescent="0.6">
      <c r="A7" s="5" t="s">
        <v>122</v>
      </c>
      <c r="B7" s="44">
        <f>'Ann 4'!C30</f>
        <v>673498.07692307699</v>
      </c>
      <c r="C7" s="44">
        <f>'Ann 4'!D30</f>
        <v>2101780.5769230733</v>
      </c>
      <c r="D7" s="44">
        <f>'Ann 4'!E30</f>
        <v>2483535.0076923035</v>
      </c>
      <c r="E7" s="44">
        <f>'Ann 4'!F30</f>
        <v>2853314.5129615357</v>
      </c>
      <c r="F7" s="44">
        <f>'Ann 4'!G30</f>
        <v>3207795.7749507739</v>
      </c>
      <c r="G7" s="44">
        <f>'Ann 4'!H30</f>
        <v>2937683.8033869644</v>
      </c>
      <c r="H7" s="44">
        <f>'Ann 4'!I30</f>
        <v>3214559.1139474055</v>
      </c>
      <c r="I7" s="44">
        <f>'Ann 4'!J30</f>
        <v>3439084.4832891524</v>
      </c>
      <c r="J7" s="44">
        <f>'Ann 4'!K30</f>
        <v>3661032.6911072582</v>
      </c>
    </row>
    <row r="8" spans="1:10" x14ac:dyDescent="0.6">
      <c r="A8" s="5" t="s">
        <v>123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</row>
    <row r="9" spans="1:10" x14ac:dyDescent="0.6">
      <c r="A9" s="5" t="s">
        <v>124</v>
      </c>
      <c r="B9" s="44">
        <f>B7+B8</f>
        <v>673498.07692307699</v>
      </c>
      <c r="C9" s="44">
        <f t="shared" ref="C9:J9" si="0">C7+C8</f>
        <v>2101780.5769230733</v>
      </c>
      <c r="D9" s="44">
        <f t="shared" si="0"/>
        <v>2483535.0076923035</v>
      </c>
      <c r="E9" s="44">
        <f t="shared" si="0"/>
        <v>2853314.5129615357</v>
      </c>
      <c r="F9" s="44">
        <f t="shared" si="0"/>
        <v>3207795.7749507739</v>
      </c>
      <c r="G9" s="44">
        <f t="shared" si="0"/>
        <v>2937683.8033869644</v>
      </c>
      <c r="H9" s="44">
        <f t="shared" si="0"/>
        <v>3214559.1139474055</v>
      </c>
      <c r="I9" s="44">
        <f t="shared" si="0"/>
        <v>3439084.4832891524</v>
      </c>
      <c r="J9" s="44">
        <f t="shared" si="0"/>
        <v>3661032.6911072582</v>
      </c>
    </row>
    <row r="10" spans="1:10" x14ac:dyDescent="0.6">
      <c r="A10" s="5" t="s">
        <v>125</v>
      </c>
      <c r="B10" s="44">
        <f>SUM('Ann 9'!C12:E12)</f>
        <v>1122000</v>
      </c>
      <c r="C10" s="44">
        <f>SUM('Ann 9'!C13:E13)</f>
        <v>961500.00000000012</v>
      </c>
      <c r="D10" s="44">
        <f>SUM('Ann 9'!C14:E14)</f>
        <v>824295.00000000012</v>
      </c>
      <c r="E10" s="44">
        <f>SUM('Ann 9'!C15:E15)</f>
        <v>706968.75000000012</v>
      </c>
      <c r="F10" s="44">
        <f>SUM('Ann 9'!C16:E16)</f>
        <v>606609.63750000007</v>
      </c>
      <c r="G10" s="44">
        <f>SUM('Ann 9'!C17:E17)</f>
        <v>520735.77187500009</v>
      </c>
      <c r="H10" s="44">
        <f>SUM('Ann 9'!C18:E18)</f>
        <v>447231.22809375008</v>
      </c>
      <c r="I10" s="44">
        <f>SUM('Ann 9'!C19:E19)</f>
        <v>384291.78367968759</v>
      </c>
      <c r="J10" s="44">
        <f>SUM('Ann 9'!C20:E20)</f>
        <v>330378.73194773443</v>
      </c>
    </row>
    <row r="11" spans="1:10" x14ac:dyDescent="0.6">
      <c r="A11" s="5" t="s">
        <v>124</v>
      </c>
      <c r="B11" s="44">
        <f>B9-B10</f>
        <v>-448501.92307692301</v>
      </c>
      <c r="C11" s="44">
        <f t="shared" ref="C11:J11" si="1">C9-C10</f>
        <v>1140280.5769230733</v>
      </c>
      <c r="D11" s="44">
        <f t="shared" si="1"/>
        <v>1659240.0076923035</v>
      </c>
      <c r="E11" s="44">
        <f t="shared" si="1"/>
        <v>2146345.7629615357</v>
      </c>
      <c r="F11" s="44">
        <f t="shared" si="1"/>
        <v>2601186.1374507737</v>
      </c>
      <c r="G11" s="44">
        <f t="shared" si="1"/>
        <v>2416948.0315119643</v>
      </c>
      <c r="H11" s="44">
        <f t="shared" si="1"/>
        <v>2767327.8858536556</v>
      </c>
      <c r="I11" s="44">
        <f t="shared" si="1"/>
        <v>3054792.699609465</v>
      </c>
      <c r="J11" s="44">
        <f t="shared" si="1"/>
        <v>3330653.9591595237</v>
      </c>
    </row>
    <row r="12" spans="1:10" x14ac:dyDescent="0.6">
      <c r="A12" s="5" t="s">
        <v>126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</row>
    <row r="13" spans="1:10" x14ac:dyDescent="0.6">
      <c r="A13" s="5" t="s">
        <v>127</v>
      </c>
      <c r="B13" s="71">
        <f>B11</f>
        <v>-448501.92307692301</v>
      </c>
      <c r="C13" s="71">
        <f t="shared" ref="C13:J13" si="2">C11</f>
        <v>1140280.5769230733</v>
      </c>
      <c r="D13" s="71">
        <f t="shared" si="2"/>
        <v>1659240.0076923035</v>
      </c>
      <c r="E13" s="71">
        <f t="shared" si="2"/>
        <v>2146345.7629615357</v>
      </c>
      <c r="F13" s="71">
        <f t="shared" si="2"/>
        <v>2601186.1374507737</v>
      </c>
      <c r="G13" s="71">
        <f t="shared" si="2"/>
        <v>2416948.0315119643</v>
      </c>
      <c r="H13" s="71">
        <f t="shared" si="2"/>
        <v>2767327.8858536556</v>
      </c>
      <c r="I13" s="71">
        <f t="shared" si="2"/>
        <v>3054792.699609465</v>
      </c>
      <c r="J13" s="71">
        <f t="shared" si="2"/>
        <v>3330653.9591595237</v>
      </c>
    </row>
    <row r="14" spans="1:10" x14ac:dyDescent="0.6">
      <c r="A14" s="5" t="s">
        <v>128</v>
      </c>
      <c r="B14" s="71">
        <f>B13*30%</f>
        <v>-134550.57692307691</v>
      </c>
      <c r="C14" s="71">
        <f t="shared" ref="C14:J14" si="3">C13*30%</f>
        <v>342084.17307692196</v>
      </c>
      <c r="D14" s="71">
        <f t="shared" si="3"/>
        <v>497772.00230769103</v>
      </c>
      <c r="E14" s="71">
        <f t="shared" si="3"/>
        <v>643903.72888846067</v>
      </c>
      <c r="F14" s="71">
        <f t="shared" si="3"/>
        <v>780355.84123523207</v>
      </c>
      <c r="G14" s="71">
        <f t="shared" si="3"/>
        <v>725084.40945358924</v>
      </c>
      <c r="H14" s="71">
        <f t="shared" si="3"/>
        <v>830198.36575609667</v>
      </c>
      <c r="I14" s="71">
        <f t="shared" si="3"/>
        <v>916437.80988283944</v>
      </c>
      <c r="J14" s="71">
        <f t="shared" si="3"/>
        <v>999196.18774785707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2021-10-22T06:24:25Z</cp:lastPrinted>
  <dcterms:created xsi:type="dcterms:W3CDTF">2021-07-04T07:21:16Z</dcterms:created>
  <dcterms:modified xsi:type="dcterms:W3CDTF">2021-10-22T06:24:26Z</dcterms:modified>
</cp:coreProperties>
</file>