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D:\1. Assignments\6. Ashiwini Mittal Sir- Nabcons\19. APMC\"/>
    </mc:Choice>
  </mc:AlternateContent>
  <xr:revisionPtr revIDLastSave="0" documentId="13_ncr:1_{923D42CB-EE5B-4043-80ED-8AF6C4A3D48F}" xr6:coauthVersionLast="47" xr6:coauthVersionMax="47" xr10:uidLastSave="{00000000-0000-0000-0000-000000000000}"/>
  <bookViews>
    <workbookView xWindow="-110" yWindow="-110" windowWidth="19420" windowHeight="11020" xr2:uid="{8B0049CE-B79C-4EF0-8FA8-FBBF9BECEBD1}"/>
  </bookViews>
  <sheets>
    <sheet name="Contents" sheetId="21" r:id="rId1"/>
    <sheet name="Ann 1" sheetId="1" r:id="rId2"/>
    <sheet name="Ann 2" sheetId="2" r:id="rId3"/>
    <sheet name="Ann 3" sheetId="3" r:id="rId4"/>
    <sheet name="Ann 4" sheetId="4" r:id="rId5"/>
    <sheet name="Ann 5" sheetId="7" r:id="rId6"/>
    <sheet name="Ann 6" sheetId="23" state="hidden" r:id="rId7"/>
    <sheet name="Ann 8" sheetId="9" r:id="rId8"/>
    <sheet name="Ann 9" sheetId="10" r:id="rId9"/>
    <sheet name="Ann 10" sheetId="13" r:id="rId10"/>
    <sheet name="Ann 11" sheetId="11" state="hidden" r:id="rId11"/>
    <sheet name="Ann 12" sheetId="12" state="hidden" r:id="rId12"/>
    <sheet name="Ann 13" sheetId="14" r:id="rId13"/>
    <sheet name="Ann 14" sheetId="18" r:id="rId14"/>
    <sheet name="Budgets" sheetId="19" r:id="rId15"/>
    <sheet name="For word file" sheetId="20" state="hidden" r:id="rId16"/>
    <sheet name="Assumptions" sheetId="22" r:id="rId17"/>
    <sheet name="Sheet1" sheetId="15" state="hidden" r:id="rId18"/>
  </sheets>
  <externalReferences>
    <externalReference r:id="rId1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0" i="4" l="1"/>
  <c r="H10" i="4"/>
  <c r="D7" i="4"/>
  <c r="C12" i="7"/>
  <c r="D10" i="18" s="1"/>
  <c r="E5" i="3"/>
  <c r="E4" i="3"/>
  <c r="D5" i="22"/>
  <c r="C23" i="11"/>
  <c r="E13" i="11"/>
  <c r="D22" i="7"/>
  <c r="D27" i="7" s="1"/>
  <c r="E22" i="7"/>
  <c r="E27" i="7" s="1"/>
  <c r="F22" i="7"/>
  <c r="F27" i="7" s="1"/>
  <c r="G22" i="7"/>
  <c r="G27" i="7" s="1"/>
  <c r="H22" i="7"/>
  <c r="H27" i="7" s="1"/>
  <c r="I22" i="7"/>
  <c r="I27" i="7" s="1"/>
  <c r="J22" i="7"/>
  <c r="J27" i="7" s="1"/>
  <c r="K22" i="7"/>
  <c r="K27" i="7" s="1"/>
  <c r="C22" i="7"/>
  <c r="C27" i="7" s="1"/>
  <c r="C17" i="19"/>
  <c r="C7" i="2"/>
  <c r="B4" i="18" s="1"/>
  <c r="F10" i="4" l="1"/>
  <c r="E10" i="3"/>
  <c r="E10" i="4"/>
  <c r="C10" i="4"/>
  <c r="D10" i="4"/>
  <c r="K10" i="4"/>
  <c r="J10" i="4"/>
  <c r="I10" i="4"/>
  <c r="D12" i="7"/>
  <c r="D8" i="18" s="1"/>
  <c r="E7" i="4"/>
  <c r="C8" i="18"/>
  <c r="E10" i="9"/>
  <c r="D8" i="11"/>
  <c r="E4" i="22"/>
  <c r="E5" i="22" s="1"/>
  <c r="B12" i="18"/>
  <c r="G5" i="19"/>
  <c r="G6" i="19" s="1"/>
  <c r="E18" i="9"/>
  <c r="E8" i="10"/>
  <c r="E12" i="10" s="1"/>
  <c r="K44" i="7" l="1"/>
  <c r="K13" i="18"/>
  <c r="J13" i="18"/>
  <c r="J44" i="7"/>
  <c r="F7" i="4"/>
  <c r="E12" i="7"/>
  <c r="E8" i="18" s="1"/>
  <c r="E13" i="10"/>
  <c r="E14" i="10" s="1"/>
  <c r="E15" i="10" s="1"/>
  <c r="G11" i="19"/>
  <c r="G10" i="19"/>
  <c r="G27" i="19"/>
  <c r="G28" i="19"/>
  <c r="G8" i="19"/>
  <c r="C26" i="11"/>
  <c r="G7" i="19"/>
  <c r="G9" i="19" s="1"/>
  <c r="F4" i="22"/>
  <c r="C5" i="19"/>
  <c r="C11" i="19" s="1"/>
  <c r="D5" i="19"/>
  <c r="E5" i="19"/>
  <c r="K5" i="19"/>
  <c r="J5" i="19"/>
  <c r="F5" i="19"/>
  <c r="I5" i="19"/>
  <c r="H5" i="19"/>
  <c r="E12" i="3"/>
  <c r="E8" i="9"/>
  <c r="C21" i="11"/>
  <c r="C25" i="11" s="1"/>
  <c r="B13" i="23"/>
  <c r="B9" i="23"/>
  <c r="B15" i="23" l="1"/>
  <c r="B17" i="23" s="1"/>
  <c r="G4" i="22"/>
  <c r="F5" i="22"/>
  <c r="G7" i="4"/>
  <c r="F12" i="7"/>
  <c r="F8" i="18" s="1"/>
  <c r="E16" i="10"/>
  <c r="E17" i="10" s="1"/>
  <c r="E18" i="10" s="1"/>
  <c r="H10" i="19"/>
  <c r="H11" i="19"/>
  <c r="F10" i="19"/>
  <c r="F11" i="19"/>
  <c r="I10" i="19"/>
  <c r="I11" i="19"/>
  <c r="J10" i="19"/>
  <c r="J11" i="19"/>
  <c r="D10" i="19"/>
  <c r="D11" i="19"/>
  <c r="C10" i="19"/>
  <c r="C12" i="19"/>
  <c r="D12" i="19" s="1"/>
  <c r="E12" i="19" s="1"/>
  <c r="F12" i="19" s="1"/>
  <c r="G12" i="19" s="1"/>
  <c r="H12" i="19" s="1"/>
  <c r="I12" i="19" s="1"/>
  <c r="J12" i="19" s="1"/>
  <c r="K12" i="19" s="1"/>
  <c r="K10" i="19"/>
  <c r="K11" i="19"/>
  <c r="E10" i="19"/>
  <c r="E11" i="19"/>
  <c r="E6" i="19"/>
  <c r="D6" i="19"/>
  <c r="C6" i="19"/>
  <c r="H6" i="19"/>
  <c r="F6" i="19"/>
  <c r="J6" i="19"/>
  <c r="J7" i="19" s="1"/>
  <c r="J9" i="19" s="1"/>
  <c r="I6" i="19"/>
  <c r="K6" i="19"/>
  <c r="C6" i="10"/>
  <c r="C21" i="19"/>
  <c r="A8" i="21"/>
  <c r="G5" i="22" l="1"/>
  <c r="H4" i="22"/>
  <c r="G13" i="19"/>
  <c r="G12" i="7"/>
  <c r="G8" i="18" s="1"/>
  <c r="H7" i="4"/>
  <c r="E19" i="10"/>
  <c r="E20" i="10" s="1"/>
  <c r="I28" i="19"/>
  <c r="I8" i="19"/>
  <c r="I27" i="19"/>
  <c r="C28" i="19"/>
  <c r="C8" i="19"/>
  <c r="C27" i="19"/>
  <c r="I7" i="19"/>
  <c r="I9" i="19" s="1"/>
  <c r="C7" i="19"/>
  <c r="C9" i="19" s="1"/>
  <c r="D27" i="19"/>
  <c r="D8" i="19"/>
  <c r="D28" i="19"/>
  <c r="J8" i="19"/>
  <c r="J13" i="19" s="1"/>
  <c r="J28" i="19"/>
  <c r="J27" i="19"/>
  <c r="D7" i="19"/>
  <c r="D9" i="19" s="1"/>
  <c r="F27" i="19"/>
  <c r="F8" i="19"/>
  <c r="F28" i="19"/>
  <c r="E27" i="19"/>
  <c r="E8" i="19"/>
  <c r="E28" i="19"/>
  <c r="F7" i="19"/>
  <c r="F9" i="19" s="1"/>
  <c r="E7" i="19"/>
  <c r="E9" i="19" s="1"/>
  <c r="K8" i="19"/>
  <c r="K28" i="19"/>
  <c r="K27" i="19"/>
  <c r="H28" i="19"/>
  <c r="H27" i="19"/>
  <c r="H8" i="19"/>
  <c r="K7" i="19"/>
  <c r="K9" i="19" s="1"/>
  <c r="H7" i="19"/>
  <c r="H9" i="19" s="1"/>
  <c r="A15" i="21"/>
  <c r="A13" i="21"/>
  <c r="A12" i="21"/>
  <c r="A11" i="21"/>
  <c r="K45" i="7"/>
  <c r="J45" i="7"/>
  <c r="I32" i="7"/>
  <c r="J32" i="7"/>
  <c r="K32" i="7"/>
  <c r="E9" i="9"/>
  <c r="A16" i="21"/>
  <c r="H5" i="22" l="1"/>
  <c r="I4" i="22"/>
  <c r="H12" i="7"/>
  <c r="H8" i="18" s="1"/>
  <c r="I7" i="4"/>
  <c r="K13" i="19"/>
  <c r="F13" i="19"/>
  <c r="C13" i="19"/>
  <c r="H13" i="19"/>
  <c r="E13" i="19"/>
  <c r="D13" i="19"/>
  <c r="I13" i="19"/>
  <c r="C29" i="19"/>
  <c r="A18" i="21"/>
  <c r="A17" i="21"/>
  <c r="A14" i="21"/>
  <c r="A10" i="21"/>
  <c r="A9" i="21"/>
  <c r="A7" i="21"/>
  <c r="A6" i="21"/>
  <c r="C23" i="18"/>
  <c r="K23" i="18"/>
  <c r="J23" i="18"/>
  <c r="I23" i="18"/>
  <c r="H23" i="18"/>
  <c r="G23" i="18"/>
  <c r="F23" i="18"/>
  <c r="E23" i="18"/>
  <c r="D23" i="18"/>
  <c r="I5" i="22" l="1"/>
  <c r="J4" i="22"/>
  <c r="I12" i="7"/>
  <c r="I8" i="18" s="1"/>
  <c r="J7" i="4"/>
  <c r="J12" i="4" s="1"/>
  <c r="J47" i="7" s="1"/>
  <c r="D26" i="19"/>
  <c r="D29" i="19" s="1"/>
  <c r="I39" i="7"/>
  <c r="J39" i="7"/>
  <c r="K39" i="7"/>
  <c r="J5" i="22" l="1"/>
  <c r="K4" i="22"/>
  <c r="K7" i="4"/>
  <c r="K12" i="4" s="1"/>
  <c r="K47" i="7" s="1"/>
  <c r="J12" i="7"/>
  <c r="J8" i="18" s="1"/>
  <c r="E26" i="19"/>
  <c r="E29" i="19" s="1"/>
  <c r="C19" i="1"/>
  <c r="K5" i="22" l="1"/>
  <c r="L4" i="22"/>
  <c r="L5" i="22" s="1"/>
  <c r="K12" i="7"/>
  <c r="K8" i="18" s="1"/>
  <c r="F26" i="19"/>
  <c r="F29" i="19" s="1"/>
  <c r="G26" i="19" l="1"/>
  <c r="G29" i="19" s="1"/>
  <c r="H26" i="19" l="1"/>
  <c r="H29" i="19" s="1"/>
  <c r="I26" i="19" l="1"/>
  <c r="I29" i="19" s="1"/>
  <c r="E5" i="11"/>
  <c r="D7" i="11" s="1"/>
  <c r="J3" i="20"/>
  <c r="B3" i="20"/>
  <c r="J26" i="19" l="1"/>
  <c r="J29" i="19" s="1"/>
  <c r="G3" i="20"/>
  <c r="C3" i="20"/>
  <c r="D3" i="20"/>
  <c r="I3" i="20"/>
  <c r="H3" i="20"/>
  <c r="E3" i="20"/>
  <c r="F3" i="20"/>
  <c r="K26" i="19" l="1"/>
  <c r="K29" i="19" s="1"/>
  <c r="C12" i="1" l="1"/>
  <c r="C35" i="1"/>
  <c r="E6" i="9" l="1"/>
  <c r="D9" i="11" l="1"/>
  <c r="E9" i="11" l="1"/>
  <c r="E10" i="11" s="1"/>
  <c r="C24" i="11"/>
  <c r="C27" i="11" s="1"/>
  <c r="J46" i="7"/>
  <c r="K46" i="7"/>
  <c r="C12" i="10"/>
  <c r="C20" i="1"/>
  <c r="C16" i="1"/>
  <c r="F8" i="10"/>
  <c r="F7" i="10"/>
  <c r="E7" i="9"/>
  <c r="E11" i="9" s="1"/>
  <c r="E13" i="9" s="1"/>
  <c r="C9" i="1"/>
  <c r="C41" i="1" l="1"/>
  <c r="D6" i="10"/>
  <c r="D12" i="10" s="1"/>
  <c r="D13" i="10" s="1"/>
  <c r="D14" i="10" s="1"/>
  <c r="C7" i="15"/>
  <c r="E10" i="18"/>
  <c r="C13" i="10"/>
  <c r="C3" i="15"/>
  <c r="K6" i="12"/>
  <c r="E5" i="12"/>
  <c r="H6" i="12"/>
  <c r="E6" i="12"/>
  <c r="D6" i="12"/>
  <c r="F6" i="12"/>
  <c r="F5" i="12"/>
  <c r="G5" i="12"/>
  <c r="I6" i="12"/>
  <c r="C8" i="2" l="1"/>
  <c r="B10" i="13"/>
  <c r="C10" i="7"/>
  <c r="F12" i="10"/>
  <c r="F6" i="10"/>
  <c r="F13" i="10"/>
  <c r="D14" i="4" s="1"/>
  <c r="E14" i="9"/>
  <c r="E12" i="11" s="1"/>
  <c r="F3" i="15"/>
  <c r="F10" i="18"/>
  <c r="C14" i="10"/>
  <c r="F14" i="10" s="1"/>
  <c r="E14" i="4" s="1"/>
  <c r="C10" i="13"/>
  <c r="D10" i="7"/>
  <c r="E3" i="15"/>
  <c r="D3" i="15"/>
  <c r="H5" i="12"/>
  <c r="J5" i="12"/>
  <c r="C6" i="12"/>
  <c r="J6" i="12"/>
  <c r="D5" i="12"/>
  <c r="I5" i="12"/>
  <c r="C5" i="12"/>
  <c r="G6" i="12"/>
  <c r="K5" i="12"/>
  <c r="D15" i="10"/>
  <c r="D16" i="10" s="1"/>
  <c r="D17" i="10" s="1"/>
  <c r="E14" i="11" l="1"/>
  <c r="C14" i="4"/>
  <c r="C4" i="2"/>
  <c r="F9" i="10"/>
  <c r="E16" i="9"/>
  <c r="G10" i="18"/>
  <c r="E10" i="7"/>
  <c r="D10" i="13"/>
  <c r="C15" i="10"/>
  <c r="D18" i="10"/>
  <c r="C17" i="7" l="1"/>
  <c r="B5" i="18"/>
  <c r="C6" i="2"/>
  <c r="D4" i="14" s="1"/>
  <c r="B7" i="18"/>
  <c r="B26" i="18" s="1"/>
  <c r="B27" i="18" s="1"/>
  <c r="C9" i="7"/>
  <c r="C11" i="7" s="1"/>
  <c r="D9" i="7" s="1"/>
  <c r="D11" i="7" s="1"/>
  <c r="D38" i="7" s="1"/>
  <c r="F15" i="10"/>
  <c r="F14" i="4" s="1"/>
  <c r="H10" i="18"/>
  <c r="G3" i="15"/>
  <c r="F10" i="7"/>
  <c r="E10" i="13"/>
  <c r="C16" i="10"/>
  <c r="C17" i="10" s="1"/>
  <c r="D19" i="10"/>
  <c r="D20" i="10" s="1"/>
  <c r="B6" i="18" l="1"/>
  <c r="B24" i="18" s="1"/>
  <c r="B25" i="18" s="1"/>
  <c r="B30" i="18" s="1"/>
  <c r="D11" i="14"/>
  <c r="D12" i="14" s="1"/>
  <c r="D13" i="14" s="1"/>
  <c r="D14" i="14" s="1"/>
  <c r="C10" i="14"/>
  <c r="E10" i="14" s="1"/>
  <c r="C9" i="14"/>
  <c r="E9" i="14" s="1"/>
  <c r="C11" i="14"/>
  <c r="E11" i="14" s="1"/>
  <c r="E9" i="7"/>
  <c r="E11" i="7" s="1"/>
  <c r="E38" i="7" s="1"/>
  <c r="C38" i="7"/>
  <c r="F16" i="10"/>
  <c r="G14" i="4" s="1"/>
  <c r="I10" i="18"/>
  <c r="H3" i="15"/>
  <c r="G10" i="7"/>
  <c r="F10" i="13"/>
  <c r="C18" i="10"/>
  <c r="B14" i="18" l="1"/>
  <c r="B20" i="18" s="1"/>
  <c r="C4" i="18"/>
  <c r="C24" i="18" s="1"/>
  <c r="C25" i="18" s="1"/>
  <c r="B29" i="18"/>
  <c r="C45" i="7"/>
  <c r="C19" i="18"/>
  <c r="C12" i="14"/>
  <c r="E12" i="14" s="1"/>
  <c r="E17" i="11" s="1"/>
  <c r="E18" i="11" s="1"/>
  <c r="C28" i="11" s="1"/>
  <c r="C29" i="11" s="1"/>
  <c r="D15" i="14"/>
  <c r="F9" i="7"/>
  <c r="F11" i="7" s="1"/>
  <c r="F38" i="7" s="1"/>
  <c r="F17" i="10"/>
  <c r="H14" i="4" s="1"/>
  <c r="J10" i="18"/>
  <c r="I3" i="15"/>
  <c r="H10" i="7"/>
  <c r="G10" i="13"/>
  <c r="C19" i="10"/>
  <c r="C9" i="4" l="1"/>
  <c r="C13" i="14"/>
  <c r="E13" i="14" s="1"/>
  <c r="G9" i="7"/>
  <c r="G11" i="7" s="1"/>
  <c r="G38" i="7" s="1"/>
  <c r="D16" i="14"/>
  <c r="D19" i="18" s="1"/>
  <c r="C4" i="20"/>
  <c r="C5" i="20" s="1"/>
  <c r="C6" i="20" s="1"/>
  <c r="F18" i="10"/>
  <c r="I14" i="4" s="1"/>
  <c r="D4" i="20"/>
  <c r="C20" i="10"/>
  <c r="F19" i="10"/>
  <c r="J14" i="4" s="1"/>
  <c r="K10" i="18"/>
  <c r="I10" i="7"/>
  <c r="H10" i="13"/>
  <c r="I10" i="13"/>
  <c r="J10" i="7"/>
  <c r="C12" i="4" l="1"/>
  <c r="C47" i="7" s="1"/>
  <c r="C44" i="7"/>
  <c r="C13" i="18"/>
  <c r="C21" i="7"/>
  <c r="C32" i="7" s="1"/>
  <c r="C14" i="14"/>
  <c r="E14" i="14" s="1"/>
  <c r="H9" i="7"/>
  <c r="H11" i="7" s="1"/>
  <c r="H38" i="7" s="1"/>
  <c r="D45" i="7"/>
  <c r="D17" i="14"/>
  <c r="F4" i="20"/>
  <c r="F5" i="20" s="1"/>
  <c r="F6" i="20" s="1"/>
  <c r="C46" i="7"/>
  <c r="F20" i="10"/>
  <c r="K14" i="4" s="1"/>
  <c r="E4" i="20"/>
  <c r="E5" i="20" s="1"/>
  <c r="E6" i="20" s="1"/>
  <c r="D5" i="20"/>
  <c r="D6" i="20" s="1"/>
  <c r="J10" i="13"/>
  <c r="K10" i="7"/>
  <c r="C15" i="14" l="1"/>
  <c r="E15" i="14" s="1"/>
  <c r="C39" i="7"/>
  <c r="C40" i="7" s="1"/>
  <c r="I9" i="7"/>
  <c r="I11" i="7" s="1"/>
  <c r="J9" i="7" s="1"/>
  <c r="J11" i="7" s="1"/>
  <c r="J38" i="7" s="1"/>
  <c r="D18" i="14"/>
  <c r="C16" i="14" l="1"/>
  <c r="C17" i="14" s="1"/>
  <c r="I38" i="7"/>
  <c r="K9" i="7"/>
  <c r="K11" i="7" s="1"/>
  <c r="K38" i="7" s="1"/>
  <c r="D19" i="14"/>
  <c r="G4" i="20"/>
  <c r="G5" i="20" s="1"/>
  <c r="G6" i="20" s="1"/>
  <c r="H4" i="20"/>
  <c r="H5" i="20" s="1"/>
  <c r="H6" i="20" s="1"/>
  <c r="E16" i="14" l="1"/>
  <c r="D9" i="4" s="1"/>
  <c r="D20" i="14"/>
  <c r="E45" i="7" s="1"/>
  <c r="I4" i="20"/>
  <c r="I5" i="20" s="1"/>
  <c r="I6" i="20" s="1"/>
  <c r="E17" i="14"/>
  <c r="D21" i="7"/>
  <c r="C18" i="14"/>
  <c r="D12" i="4" l="1"/>
  <c r="D47" i="7" s="1"/>
  <c r="D44" i="7"/>
  <c r="D46" i="7" s="1"/>
  <c r="D13" i="18"/>
  <c r="E19" i="18"/>
  <c r="D21" i="14"/>
  <c r="D15" i="4"/>
  <c r="C7" i="13"/>
  <c r="C9" i="13" s="1"/>
  <c r="C11" i="13" s="1"/>
  <c r="C13" i="13" s="1"/>
  <c r="C14" i="13" s="1"/>
  <c r="D16" i="4" s="1"/>
  <c r="D15" i="18" s="1"/>
  <c r="E18" i="14"/>
  <c r="C19" i="14"/>
  <c r="D32" i="7"/>
  <c r="D39" i="7"/>
  <c r="D40" i="7" s="1"/>
  <c r="D48" i="7" l="1"/>
  <c r="D22" i="14"/>
  <c r="E19" i="14"/>
  <c r="C20" i="14"/>
  <c r="C7" i="20"/>
  <c r="D17" i="4"/>
  <c r="D18" i="4" s="1"/>
  <c r="J4" i="20"/>
  <c r="J5" i="20" s="1"/>
  <c r="J6" i="20" s="1"/>
  <c r="D23" i="14" l="1"/>
  <c r="D17" i="18"/>
  <c r="D26" i="18" s="1"/>
  <c r="D27" i="18" s="1"/>
  <c r="C8" i="20"/>
  <c r="E20" i="14"/>
  <c r="E9" i="4" s="1"/>
  <c r="C21" i="14"/>
  <c r="E12" i="4" l="1"/>
  <c r="E47" i="7" s="1"/>
  <c r="E44" i="7"/>
  <c r="E13" i="18"/>
  <c r="D24" i="14"/>
  <c r="D25" i="14" s="1"/>
  <c r="D19" i="4"/>
  <c r="D18" i="7" s="1"/>
  <c r="E46" i="7"/>
  <c r="E21" i="14"/>
  <c r="C22" i="14"/>
  <c r="E21" i="7"/>
  <c r="E48" i="7" l="1"/>
  <c r="F45" i="7"/>
  <c r="F19" i="18"/>
  <c r="D26" i="14"/>
  <c r="D27" i="14" s="1"/>
  <c r="D28" i="14" s="1"/>
  <c r="D29" i="14" s="1"/>
  <c r="E32" i="7"/>
  <c r="E39" i="7"/>
  <c r="E40" i="7" s="1"/>
  <c r="E22" i="14"/>
  <c r="C23" i="14"/>
  <c r="E15" i="4"/>
  <c r="D7" i="13"/>
  <c r="D9" i="13" s="1"/>
  <c r="D11" i="13" s="1"/>
  <c r="D13" i="13" s="1"/>
  <c r="D14" i="13" s="1"/>
  <c r="E16" i="4" s="1"/>
  <c r="E15" i="18" s="1"/>
  <c r="J3" i="15"/>
  <c r="K3" i="15"/>
  <c r="G45" i="7" l="1"/>
  <c r="G19" i="18"/>
  <c r="D30" i="14"/>
  <c r="D31" i="14" s="1"/>
  <c r="D32" i="14" s="1"/>
  <c r="D33" i="14" s="1"/>
  <c r="D7" i="20"/>
  <c r="E17" i="4"/>
  <c r="E18" i="4" s="1"/>
  <c r="E23" i="14"/>
  <c r="C24" i="14"/>
  <c r="J15" i="4"/>
  <c r="H45" i="7" l="1"/>
  <c r="H19" i="18"/>
  <c r="D34" i="14"/>
  <c r="D35" i="14" s="1"/>
  <c r="D36" i="14" s="1"/>
  <c r="E24" i="14"/>
  <c r="F9" i="4" s="1"/>
  <c r="C25" i="14"/>
  <c r="E17" i="18"/>
  <c r="E26" i="18" s="1"/>
  <c r="E27" i="18" s="1"/>
  <c r="D8" i="20"/>
  <c r="I7" i="20"/>
  <c r="I7" i="13"/>
  <c r="I9" i="13" s="1"/>
  <c r="I11" i="13" s="1"/>
  <c r="I13" i="13" s="1"/>
  <c r="I14" i="13" s="1"/>
  <c r="J16" i="4" s="1"/>
  <c r="J15" i="18" s="1"/>
  <c r="K15" i="4"/>
  <c r="F12" i="4" l="1"/>
  <c r="F47" i="7" s="1"/>
  <c r="F44" i="7"/>
  <c r="F13" i="18"/>
  <c r="I19" i="18"/>
  <c r="I45" i="7"/>
  <c r="E19" i="4"/>
  <c r="E18" i="7" s="1"/>
  <c r="F46" i="7"/>
  <c r="F48" i="7" s="1"/>
  <c r="E25" i="14"/>
  <c r="F21" i="7"/>
  <c r="C26" i="14"/>
  <c r="J7" i="20"/>
  <c r="J17" i="4"/>
  <c r="J18" i="4" s="1"/>
  <c r="J7" i="13"/>
  <c r="J9" i="13" s="1"/>
  <c r="J11" i="13" s="1"/>
  <c r="J13" i="13" s="1"/>
  <c r="J14" i="13" s="1"/>
  <c r="K16" i="4" s="1"/>
  <c r="E26" i="14" l="1"/>
  <c r="C27" i="14"/>
  <c r="F32" i="7"/>
  <c r="F39" i="7"/>
  <c r="F40" i="7" s="1"/>
  <c r="F15" i="4"/>
  <c r="E7" i="13"/>
  <c r="E9" i="13" s="1"/>
  <c r="E11" i="13" s="1"/>
  <c r="E13" i="13" s="1"/>
  <c r="E14" i="13" s="1"/>
  <c r="F16" i="4" s="1"/>
  <c r="F15" i="18" s="1"/>
  <c r="J19" i="4"/>
  <c r="J18" i="7" s="1"/>
  <c r="I8" i="20"/>
  <c r="K17" i="4"/>
  <c r="K18" i="4" s="1"/>
  <c r="K15" i="18"/>
  <c r="C28" i="14" l="1"/>
  <c r="E27" i="14"/>
  <c r="E7" i="20"/>
  <c r="F17" i="4"/>
  <c r="F18" i="4" s="1"/>
  <c r="J17" i="18"/>
  <c r="J26" i="18" s="1"/>
  <c r="K19" i="4"/>
  <c r="K18" i="7" s="1"/>
  <c r="J8" i="20"/>
  <c r="F17" i="18" l="1"/>
  <c r="F26" i="18" s="1"/>
  <c r="F27" i="18" s="1"/>
  <c r="E8" i="20"/>
  <c r="C29" i="14"/>
  <c r="E28" i="14"/>
  <c r="G9" i="4" s="1"/>
  <c r="G21" i="7"/>
  <c r="J27" i="18"/>
  <c r="K17" i="18"/>
  <c r="K26" i="18" s="1"/>
  <c r="G12" i="4" l="1"/>
  <c r="G47" i="7" s="1"/>
  <c r="G44" i="7"/>
  <c r="G13" i="18"/>
  <c r="F19" i="4"/>
  <c r="F18" i="7" s="1"/>
  <c r="G39" i="7"/>
  <c r="G40" i="7" s="1"/>
  <c r="G32" i="7"/>
  <c r="C30" i="14"/>
  <c r="E29" i="14"/>
  <c r="G46" i="7"/>
  <c r="G48" i="7" s="1"/>
  <c r="K27" i="18"/>
  <c r="G15" i="4" l="1"/>
  <c r="F7" i="13"/>
  <c r="F9" i="13" s="1"/>
  <c r="F11" i="13" s="1"/>
  <c r="F13" i="13" s="1"/>
  <c r="F14" i="13" s="1"/>
  <c r="G16" i="4" s="1"/>
  <c r="G15" i="18" s="1"/>
  <c r="E30" i="14"/>
  <c r="C31" i="14"/>
  <c r="C32" i="14" l="1"/>
  <c r="E31" i="14"/>
  <c r="F7" i="20"/>
  <c r="G17" i="4"/>
  <c r="G18" i="4" s="1"/>
  <c r="G17" i="18" l="1"/>
  <c r="G26" i="18" s="1"/>
  <c r="G27" i="18" s="1"/>
  <c r="F8" i="20"/>
  <c r="C33" i="14"/>
  <c r="E32" i="14"/>
  <c r="H9" i="4" s="1"/>
  <c r="H21" i="7"/>
  <c r="H12" i="4" l="1"/>
  <c r="H47" i="7" s="1"/>
  <c r="H13" i="18"/>
  <c r="H44" i="7"/>
  <c r="G19" i="4"/>
  <c r="G18" i="7" s="1"/>
  <c r="H46" i="7"/>
  <c r="H32" i="7"/>
  <c r="H39" i="7"/>
  <c r="F41" i="7" s="1"/>
  <c r="E33" i="14"/>
  <c r="C34" i="14"/>
  <c r="H48" i="7" l="1"/>
  <c r="C35" i="14"/>
  <c r="E34" i="14"/>
  <c r="H15" i="4"/>
  <c r="G7" i="13"/>
  <c r="G9" i="13" s="1"/>
  <c r="G11" i="13" s="1"/>
  <c r="G13" i="13" s="1"/>
  <c r="G14" i="13" s="1"/>
  <c r="H16" i="4" s="1"/>
  <c r="H15" i="18" s="1"/>
  <c r="G7" i="20" l="1"/>
  <c r="H17" i="4"/>
  <c r="H18" i="4" s="1"/>
  <c r="C36" i="14"/>
  <c r="E36" i="14" s="1"/>
  <c r="E35" i="14"/>
  <c r="I9" i="4" l="1"/>
  <c r="H17" i="18"/>
  <c r="H26" i="18" s="1"/>
  <c r="H27" i="18" s="1"/>
  <c r="G8" i="20"/>
  <c r="I12" i="4" l="1"/>
  <c r="I47" i="7" s="1"/>
  <c r="I13" i="18"/>
  <c r="I44" i="7"/>
  <c r="I46" i="7"/>
  <c r="H19" i="4"/>
  <c r="H18" i="7" s="1"/>
  <c r="I15" i="4" l="1"/>
  <c r="H7" i="13"/>
  <c r="H9" i="13" s="1"/>
  <c r="H11" i="13" s="1"/>
  <c r="H13" i="13" s="1"/>
  <c r="H14" i="13" s="1"/>
  <c r="I16" i="4" s="1"/>
  <c r="I15" i="18" s="1"/>
  <c r="H7" i="20"/>
  <c r="I17" i="4" l="1"/>
  <c r="I18" i="4" s="1"/>
  <c r="H8" i="20" l="1"/>
  <c r="I17" i="18"/>
  <c r="I26" i="18" s="1"/>
  <c r="I27" i="18" s="1"/>
  <c r="I19" i="4"/>
  <c r="I18" i="7" s="1"/>
  <c r="C14" i="18"/>
  <c r="B4" i="20" l="1"/>
  <c r="B5" i="20" s="1"/>
  <c r="B6" i="20" s="1"/>
  <c r="C48" i="7" l="1"/>
  <c r="F49" i="7" s="1"/>
  <c r="C15" i="4"/>
  <c r="B7" i="13" l="1"/>
  <c r="B9" i="13" s="1"/>
  <c r="B11" i="13" s="1"/>
  <c r="B13" i="13" s="1"/>
  <c r="B14" i="13" s="1"/>
  <c r="C16" i="4" s="1"/>
  <c r="C15" i="18" s="1"/>
  <c r="C16" i="18" l="1"/>
  <c r="C17" i="4"/>
  <c r="C18" i="4" s="1"/>
  <c r="B7" i="20"/>
  <c r="B8" i="20" l="1"/>
  <c r="C17" i="18" l="1"/>
  <c r="C26" i="18" s="1"/>
  <c r="C19" i="4"/>
  <c r="C18" i="7" s="1"/>
  <c r="C20" i="7" s="1"/>
  <c r="C33" i="7" l="1"/>
  <c r="C34" i="7" s="1"/>
  <c r="C23" i="7"/>
  <c r="D17" i="7"/>
  <c r="D20" i="7" s="1"/>
  <c r="C18" i="18"/>
  <c r="C20" i="18" s="1"/>
  <c r="C13" i="7" s="1"/>
  <c r="D4" i="18" l="1"/>
  <c r="D14" i="18" s="1"/>
  <c r="C29" i="18"/>
  <c r="C30" i="18" s="1"/>
  <c r="C27" i="18"/>
  <c r="E17" i="7"/>
  <c r="E20" i="7" s="1"/>
  <c r="D23" i="7"/>
  <c r="D33" i="7"/>
  <c r="D34" i="7" s="1"/>
  <c r="E33" i="7" l="1"/>
  <c r="E34" i="7" s="1"/>
  <c r="F17" i="7"/>
  <c r="F20" i="7" s="1"/>
  <c r="E23" i="7"/>
  <c r="D24" i="18"/>
  <c r="D16" i="18"/>
  <c r="D18" i="18" s="1"/>
  <c r="D20" i="18" s="1"/>
  <c r="C14" i="7"/>
  <c r="C24" i="7" s="1"/>
  <c r="C26" i="7"/>
  <c r="C28" i="7" s="1"/>
  <c r="E4" i="18" l="1"/>
  <c r="E14" i="18" s="1"/>
  <c r="D13" i="7"/>
  <c r="D29" i="18"/>
  <c r="D30" i="18" s="1"/>
  <c r="D25" i="18"/>
  <c r="F33" i="7"/>
  <c r="F34" i="7" s="1"/>
  <c r="F23" i="7"/>
  <c r="G17" i="7"/>
  <c r="G20" i="7" s="1"/>
  <c r="G33" i="7" l="1"/>
  <c r="G34" i="7" s="1"/>
  <c r="G23" i="7"/>
  <c r="H17" i="7"/>
  <c r="H20" i="7" s="1"/>
  <c r="D26" i="7"/>
  <c r="D28" i="7" s="1"/>
  <c r="D14" i="7"/>
  <c r="E16" i="18"/>
  <c r="E18" i="18" s="1"/>
  <c r="E20" i="18" s="1"/>
  <c r="E24" i="18"/>
  <c r="E13" i="7" l="1"/>
  <c r="F4" i="18"/>
  <c r="E25" i="18"/>
  <c r="E29" i="18"/>
  <c r="E30" i="18" s="1"/>
  <c r="I17" i="7"/>
  <c r="I20" i="7" s="1"/>
  <c r="H23" i="7"/>
  <c r="H33" i="7"/>
  <c r="H34" i="7" s="1"/>
  <c r="J17" i="7" l="1"/>
  <c r="J20" i="7" s="1"/>
  <c r="I33" i="7"/>
  <c r="I34" i="7" s="1"/>
  <c r="I23" i="7"/>
  <c r="F24" i="18"/>
  <c r="F14" i="18"/>
  <c r="F16" i="18" s="1"/>
  <c r="F18" i="18" s="1"/>
  <c r="F20" i="18" s="1"/>
  <c r="E26" i="7"/>
  <c r="E28" i="7" s="1"/>
  <c r="E14" i="7"/>
  <c r="F13" i="7" l="1"/>
  <c r="G4" i="18"/>
  <c r="F29" i="18"/>
  <c r="F30" i="18" s="1"/>
  <c r="F25" i="18"/>
  <c r="J23" i="7"/>
  <c r="K17" i="7"/>
  <c r="K20" i="7" s="1"/>
  <c r="J33" i="7"/>
  <c r="J34" i="7" s="1"/>
  <c r="K33" i="7" l="1"/>
  <c r="K34" i="7" s="1"/>
  <c r="F35" i="7" s="1"/>
  <c r="K23" i="7"/>
  <c r="G14" i="18"/>
  <c r="G16" i="18" s="1"/>
  <c r="G18" i="18" s="1"/>
  <c r="G20" i="18" s="1"/>
  <c r="G24" i="18"/>
  <c r="F14" i="7"/>
  <c r="F26" i="7"/>
  <c r="F28" i="7" s="1"/>
  <c r="G29" i="18" l="1"/>
  <c r="G30" i="18" s="1"/>
  <c r="G25" i="18"/>
  <c r="H4" i="18"/>
  <c r="G13" i="7"/>
  <c r="G26" i="7" l="1"/>
  <c r="G28" i="7" s="1"/>
  <c r="G14" i="7"/>
  <c r="H24" i="18"/>
  <c r="H14" i="18"/>
  <c r="H16" i="18" s="1"/>
  <c r="H18" i="18" s="1"/>
  <c r="H20" i="18" s="1"/>
  <c r="H25" i="18" l="1"/>
  <c r="H29" i="18"/>
  <c r="H30" i="18" s="1"/>
  <c r="I4" i="18"/>
  <c r="H13" i="7"/>
  <c r="H14" i="7" l="1"/>
  <c r="H26" i="7"/>
  <c r="H28" i="7" s="1"/>
  <c r="I24" i="18"/>
  <c r="I14" i="18"/>
  <c r="I16" i="18" s="1"/>
  <c r="I18" i="18" s="1"/>
  <c r="I20" i="18" s="1"/>
  <c r="J4" i="18" l="1"/>
  <c r="I13" i="7"/>
  <c r="I25" i="18"/>
  <c r="I29" i="18"/>
  <c r="I30" i="18" s="1"/>
  <c r="I14" i="7" l="1"/>
  <c r="I26" i="7"/>
  <c r="I28" i="7" s="1"/>
  <c r="J24" i="18"/>
  <c r="J14" i="18"/>
  <c r="J16" i="18" s="1"/>
  <c r="J18" i="18" s="1"/>
  <c r="J20" i="18" s="1"/>
  <c r="K4" i="18" l="1"/>
  <c r="J13" i="7"/>
  <c r="J29" i="18"/>
  <c r="J30" i="18" s="1"/>
  <c r="J25" i="18"/>
  <c r="J14" i="7" l="1"/>
  <c r="J26" i="7"/>
  <c r="J28" i="7" s="1"/>
  <c r="K24" i="18"/>
  <c r="K14" i="18"/>
  <c r="K16" i="18" s="1"/>
  <c r="K18" i="18" s="1"/>
  <c r="K20" i="18" s="1"/>
  <c r="K13" i="7" s="1"/>
  <c r="K26" i="7" l="1"/>
  <c r="K28" i="7" s="1"/>
  <c r="F29" i="7" s="1"/>
  <c r="K14" i="7"/>
  <c r="K29" i="18"/>
  <c r="K30" i="18" s="1"/>
  <c r="L30" i="18" s="1"/>
  <c r="K25" i="18"/>
</calcChain>
</file>

<file path=xl/sharedStrings.xml><?xml version="1.0" encoding="utf-8"?>
<sst xmlns="http://schemas.openxmlformats.org/spreadsheetml/2006/main" count="426" uniqueCount="307">
  <si>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</si>
  <si>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</si>
  <si>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</si>
  <si>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</si>
  <si>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</si>
  <si>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</si>
  <si>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</si>
  <si>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</si>
  <si>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</si>
  <si>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</si>
  <si>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</si>
  <si>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</si>
  <si>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</si>
  <si>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</si>
  <si>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</si>
  <si>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</si>
  <si>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</si>
  <si>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</si>
  <si>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</si>
  <si>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</si>
  <si>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</si>
  <si>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</si>
  <si>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</si>
  <si>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</si>
  <si>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</si>
  <si>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</si>
  <si>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</si>
  <si>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</si>
  <si>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</si>
  <si>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</si>
  <si>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</si>
  <si>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</si>
  <si>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</si>
  <si>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</si>
  <si>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</si>
  <si>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</si>
  <si>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</si>
  <si>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</si>
  <si>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</si>
  <si>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</si>
  <si>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</si>
  <si>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</si>
  <si>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</si>
  <si>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</si>
  <si>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</si>
  <si>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</si>
  <si>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</si>
  <si>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</si>
  <si>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</si>
  <si>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</si>
  <si>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S. No.</t>
  </si>
  <si>
    <t>Designation</t>
  </si>
  <si>
    <t>In no.</t>
  </si>
  <si>
    <t>Salary per person per month</t>
  </si>
  <si>
    <t>i.</t>
  </si>
  <si>
    <t>ii.</t>
  </si>
  <si>
    <t>Total annual wages</t>
  </si>
  <si>
    <t>Annual increase in wages</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</si>
  <si>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</si>
  <si>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</si>
  <si>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</si>
  <si>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</si>
  <si>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</si>
  <si>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</si>
  <si>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</si>
  <si>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</si>
  <si>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</si>
  <si>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</si>
  <si>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</si>
  <si>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Break even capacity at maximum capacity utilixzation</t>
  </si>
  <si>
    <t>Variable cost</t>
  </si>
  <si>
    <t>- Running and maintenance cost</t>
  </si>
  <si>
    <t>- Interest on Working capital</t>
  </si>
  <si>
    <t>Contribution</t>
  </si>
  <si>
    <t>Wages and salaries</t>
  </si>
  <si>
    <t>- electricity expense</t>
  </si>
  <si>
    <t>Depreciation</t>
  </si>
  <si>
    <t>Fixed cost</t>
  </si>
  <si>
    <t>Sales price per kg</t>
  </si>
  <si>
    <t>Annexure 12 - Profitability statement</t>
  </si>
  <si>
    <t>Years</t>
  </si>
  <si>
    <t>Vegetable procument expense</t>
  </si>
  <si>
    <t>Fruits procurement expense</t>
  </si>
  <si>
    <t>Direct Expenses</t>
  </si>
  <si>
    <t>Annexure 13 - Repayment schedule</t>
  </si>
  <si>
    <t>Repayment schedule</t>
  </si>
  <si>
    <t>Amount of Loan (in lakhs)</t>
  </si>
  <si>
    <t>Rate of interest</t>
  </si>
  <si>
    <t>Moratorium period</t>
  </si>
  <si>
    <t>Quarter</t>
  </si>
  <si>
    <t>Balance outstanding</t>
  </si>
  <si>
    <t>Interest</t>
  </si>
  <si>
    <t>Principal instalment</t>
  </si>
  <si>
    <t>Operating profits (PBT)</t>
  </si>
  <si>
    <t>depreciation</t>
  </si>
  <si>
    <t>Net Profit before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</si>
  <si>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</si>
  <si>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</si>
  <si>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</si>
  <si>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</si>
  <si>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</si>
  <si>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</si>
  <si>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</si>
  <si>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</si>
  <si>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</si>
  <si>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</si>
  <si>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</si>
  <si>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</si>
  <si>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</si>
  <si>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</si>
  <si>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</si>
  <si>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</si>
  <si>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</si>
  <si>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</si>
  <si>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</si>
  <si>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</si>
  <si>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</si>
  <si>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</si>
  <si>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</si>
  <si>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</si>
  <si>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</si>
  <si>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</si>
  <si>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</si>
  <si>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</si>
  <si>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</si>
  <si>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</si>
  <si>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</si>
  <si>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</si>
  <si>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</si>
  <si>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</si>
  <si>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</si>
  <si>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</si>
  <si>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</si>
  <si>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</si>
  <si>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</si>
  <si>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</si>
  <si>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</si>
  <si>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</si>
  <si>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</si>
  <si>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</si>
  <si>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</si>
  <si>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</si>
  <si>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</si>
  <si>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</si>
  <si>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</si>
  <si>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</si>
  <si>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</si>
  <si>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Annexure 8 - Details of Mnpower</t>
  </si>
  <si>
    <t>Details of Manpower</t>
  </si>
  <si>
    <t>Security</t>
  </si>
  <si>
    <t>Total manpower</t>
  </si>
  <si>
    <t>opening balance</t>
  </si>
  <si>
    <t>Add: Sales realizations</t>
  </si>
  <si>
    <t>Less: Interest payments</t>
  </si>
  <si>
    <t>Working capital</t>
  </si>
  <si>
    <t>Site Development</t>
  </si>
  <si>
    <t>Sales Budget</t>
  </si>
  <si>
    <t>Products</t>
  </si>
  <si>
    <t>Production at 100% capacity</t>
  </si>
  <si>
    <t>Output</t>
  </si>
  <si>
    <t>Usage in units</t>
  </si>
  <si>
    <t>Total depreciation for the year</t>
  </si>
  <si>
    <t>Preliminary Expense</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</si>
  <si>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</si>
  <si>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</si>
  <si>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</si>
  <si>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</si>
  <si>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</si>
  <si>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</si>
  <si>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</si>
  <si>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</si>
  <si>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</si>
  <si>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</si>
  <si>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</si>
  <si>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</si>
  <si>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</si>
  <si>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</si>
  <si>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</si>
  <si>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</si>
  <si>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</si>
  <si>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</si>
  <si>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</si>
  <si>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</si>
  <si>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</si>
  <si>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Total BEP %</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</si>
  <si>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</si>
  <si>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</si>
  <si>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</si>
  <si>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</si>
  <si>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</si>
  <si>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</si>
  <si>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</si>
  <si>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</si>
  <si>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</si>
  <si>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</si>
  <si>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</si>
  <si>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</si>
  <si>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</si>
  <si>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</si>
  <si>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</si>
  <si>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</si>
  <si>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</si>
  <si>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</si>
  <si>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</si>
  <si>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</si>
  <si>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Electricity usage in units is given below</t>
  </si>
  <si>
    <t>DPR without subsidy</t>
  </si>
  <si>
    <t>iv.</t>
  </si>
  <si>
    <t>Annual cost</t>
  </si>
  <si>
    <t>Ann 3'!A1</t>
  </si>
  <si>
    <t>Break-even point is the condition when an entity generate sufficient revenue that it can meet its fixed expense after deducting any variable expense, i.e., the point where contribution is equal to the fixed expense.</t>
  </si>
  <si>
    <t>Annexure 6 - requirement of Power and Fuel</t>
  </si>
  <si>
    <t>Fuel</t>
  </si>
  <si>
    <t>Mileage</t>
  </si>
  <si>
    <t>requirement of Fuel</t>
  </si>
  <si>
    <t>Speed of tractor</t>
  </si>
  <si>
    <t>Fuel requirement as per the operative hours</t>
  </si>
  <si>
    <t xml:space="preserve"> km per litre</t>
  </si>
  <si>
    <t xml:space="preserve"> km per hour</t>
  </si>
  <si>
    <t>litres</t>
  </si>
  <si>
    <t>- For Tractor</t>
  </si>
  <si>
    <t>- For Pwer tiller</t>
  </si>
  <si>
    <t>Litre per hour</t>
  </si>
  <si>
    <t>Fuel requirement during the year for 30 units</t>
  </si>
  <si>
    <t>Litres</t>
  </si>
  <si>
    <t>Total fuel requirement</t>
  </si>
  <si>
    <t>Fuel cost per litre</t>
  </si>
  <si>
    <t>Total fuel cost at 100% capacity utilization</t>
  </si>
  <si>
    <t>Per annum capacity in kgs</t>
  </si>
  <si>
    <t>Estimated ocupational capacity</t>
  </si>
  <si>
    <t>Less: Pre incorporation expense</t>
  </si>
  <si>
    <t>Electricity fixed charge</t>
  </si>
  <si>
    <t>BEP in kgs</t>
  </si>
  <si>
    <t>Less: Fixed costs</t>
  </si>
  <si>
    <t>Rs. per kg</t>
  </si>
  <si>
    <t>Service Centre Infrastructure</t>
  </si>
  <si>
    <t>Factory manager</t>
  </si>
  <si>
    <t>Accountant cum cashier</t>
  </si>
  <si>
    <t>Mechanic</t>
  </si>
  <si>
    <t xml:space="preserve">v. </t>
  </si>
  <si>
    <t>Labour</t>
  </si>
  <si>
    <t>Add: benefits @ 10%</t>
  </si>
  <si>
    <t>It is assumed that insuarance cost is 2% of purchase price and this will increase 5% annually</t>
  </si>
  <si>
    <t>225 days</t>
  </si>
  <si>
    <t>Operational days</t>
  </si>
  <si>
    <t>purchase price per kg</t>
  </si>
  <si>
    <t>sales prices per kg</t>
  </si>
  <si>
    <t>Production Budget</t>
  </si>
  <si>
    <t>Estimation of Production capacity</t>
  </si>
  <si>
    <t>Opening Stock</t>
  </si>
  <si>
    <t>Production</t>
  </si>
  <si>
    <t>Closing Stock</t>
  </si>
  <si>
    <t xml:space="preserve">It is assumed that 2/3rd capacity of rice mill is used to process own produce, i.e., to process paddy into rice which is further sold by rice mill in the market. The balance 1/3rd capacity is used to process the government produce, for such processing rice mill charges minimal processing charges. </t>
  </si>
  <si>
    <t>In case of processing own produce, paddy is procured from farmers and processed for selling. While for government produce, paddy is provided to mill for further processing and only processing charges are taken for such work.</t>
  </si>
  <si>
    <t>Processing charges for government produce per kg</t>
  </si>
  <si>
    <t>Total revenue</t>
  </si>
  <si>
    <t>Variable costs</t>
  </si>
  <si>
    <t>Inut paddy cost</t>
  </si>
  <si>
    <t>Electricity cost</t>
  </si>
  <si>
    <t>Running and maintenance</t>
  </si>
  <si>
    <t>Interest on working capital</t>
  </si>
  <si>
    <t>Contribution per unit</t>
  </si>
  <si>
    <t>Fixed charges for office</t>
  </si>
  <si>
    <t>See note</t>
  </si>
  <si>
    <t>Note- It is assumed that some of the labour remains even in the off days, considering working days to be 300 days</t>
  </si>
  <si>
    <t>Input output ratio is taken to be 70%</t>
  </si>
  <si>
    <t>Sale of by products -Husk</t>
  </si>
  <si>
    <t>Sale of by products -Bran</t>
  </si>
  <si>
    <t>Assumed that Husk being by product of producing the rice, is 10% of the total production capacity. Sale price of husk per kg is rs. 10</t>
  </si>
  <si>
    <t>2. assumed that 30 days of sales are average debtors maintained by the business</t>
  </si>
  <si>
    <t>Annexure 14 - Cash flow statement</t>
  </si>
  <si>
    <t>A.</t>
  </si>
  <si>
    <t>B.</t>
  </si>
  <si>
    <t>C.</t>
  </si>
  <si>
    <t>D.</t>
  </si>
  <si>
    <t>E.</t>
  </si>
  <si>
    <t>F.</t>
  </si>
  <si>
    <t>G.</t>
  </si>
  <si>
    <t>H.</t>
  </si>
  <si>
    <t>I.</t>
  </si>
  <si>
    <t>Production capacity (kgs) [A. X Total capacity]</t>
  </si>
  <si>
    <t>Own produce (kgs) [B. X 2/3]</t>
  </si>
  <si>
    <t>Government produce (kgs) [B. X 1/3]</t>
  </si>
  <si>
    <t>Revenue from sale of own produce [C. X Sale price per kg]</t>
  </si>
  <si>
    <t>Revenue from processing government produce [D. X Processing charges]</t>
  </si>
  <si>
    <t>Input required (kgs) [C. X Input output ratio]</t>
  </si>
  <si>
    <t>Ann 14'!A1</t>
  </si>
  <si>
    <t>Income Tax/ savings on tax</t>
  </si>
  <si>
    <t>Assumed that 30 days of sales are average debtors maintained by the business</t>
  </si>
  <si>
    <t>Insurance</t>
  </si>
  <si>
    <t>1. asssumed that 60 days of purchases are average creditors maintained</t>
  </si>
  <si>
    <t>Asssumed that 60 days of purchases are average creditors maintained</t>
  </si>
  <si>
    <t>For the first year of operation the break-even capacity comes at 9.59%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</si>
  <si>
    <t>Electricity are semi-fixed cost. Rs. 100,000 pa is fixed, balance is variable at Rs. 14 per unit usage</t>
  </si>
  <si>
    <t>Sales proce per kg is Rs. 35 (considering single type of output rice) which will increase 5% annually</t>
  </si>
  <si>
    <t>Distribution of profits (80%)</t>
  </si>
  <si>
    <t>Tipper dumper</t>
  </si>
  <si>
    <t>E-Trading platform</t>
  </si>
  <si>
    <t>Retail outlet- With assets small referigeration</t>
  </si>
  <si>
    <t>1. Plant and machinery</t>
  </si>
  <si>
    <t>Rental income</t>
  </si>
  <si>
    <t>Term Loan Interest</t>
  </si>
  <si>
    <t>Working capital interest</t>
  </si>
  <si>
    <t>Weigh bridge</t>
  </si>
  <si>
    <t>Covered auction place</t>
  </si>
  <si>
    <t>Electronic display unit</t>
  </si>
  <si>
    <t>Arrival and Exit Facilities DPR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</si>
</sst>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_);_(* \(#,##0\);_(* &quot;-&quot;??_);_(@_)"/>
    <numFmt numFmtId="165" formatCode="_(* #,##0.0_);_(* \(#,##0.0\);_(* &quot;-&quot;?_);_(@_)"/>
    <numFmt numFmtId="166" formatCode="_(* #,##0.000000000_);_(* \(#,##0.000000000\);_(* &quot;-&quot;??_);_(@_)"/>
    <numFmt numFmtId="167" formatCode="0.000"/>
    <numFmt numFmtId="168" formatCode="_(* #,##0.000_);_(* \(#,##0.000\);_(* &quot;-&quot;??_);_(@_)"/>
    <numFmt numFmtId="169" formatCode="_(* #,##0.0000_);_(* \(#,##0.0000\);_(* &quot;-&quot;??_);_(@_)"/>
    <numFmt numFmtId="170" formatCode="_(* #,##0.0_);_(* \(#,##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scheme val="minor"/>
    </font>
    <font>
      <b/>
      <sz val="11"/>
      <color theme="1"/>
      <name val="Adobe Devanagari"/>
      <family val="1"/>
    </font>
    <font>
      <sz val="11"/>
      <color theme="1"/>
      <name val="Adobe Devanagari"/>
      <family val="1"/>
    </font>
    <font>
      <u/>
      <sz val="11"/>
      <color theme="10"/>
      <name val="Adobe Devanagari"/>
      <family val="1"/>
    </font>
    <font>
      <u/>
      <sz val="11"/>
      <color theme="1"/>
      <name val="Adobe Devanagari"/>
      <family val="1"/>
    </font>
    <font>
      <sz val="11"/>
      <name val="Adobe Devanagari"/>
      <family val="1"/>
    </font>
    <font>
      <sz val="11"/>
      <color theme="0"/>
      <name val="Adobe Devanagari"/>
      <family val="1"/>
    </font>
  </fonts>
  <fills count="4">
    <fill>
      <patternFill patternType="none"/>
    </fill>
    <fill>
      <patternFill patternType="gray125"/>
    </fill>
    <fill>
      <patternFill patternType="solid">
        <fgColor rgb="FFFFFF00"/>
        <bgColor indexed="64"/>
      </patternFill>
    </fill>
    <fill>
      <patternFill patternType="solid">
        <fgColor theme="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34">
    <xf numFmtId="0" fontId="0" fillId="0" borderId="0" xfId="0"/>
    <xf numFmtId="2" fontId="0" fillId="0" borderId="0" xfId="0" applyNumberFormat="1"/>
    <xf numFmtId="0" fontId="3" fillId="0" borderId="0" xfId="0" applyFont="1"/>
    <xf numFmtId="0" fontId="2" fillId="0" borderId="0" xfId="0" applyFont="1"/>
    <xf numFmtId="0" fontId="0" fillId="0" borderId="0" xfId="0" quotePrefix="1"/>
    <xf numFmtId="167" fontId="0" fillId="0" borderId="0" xfId="0" applyNumberFormat="1"/>
    <xf numFmtId="43" fontId="0" fillId="0" borderId="0" xfId="1" applyFont="1"/>
    <xf numFmtId="0" fontId="5" fillId="0" borderId="0" xfId="0" applyFont="1"/>
    <xf numFmtId="0" fontId="6" fillId="0" borderId="0" xfId="0" applyFont="1"/>
    <xf numFmtId="0" fontId="6" fillId="0" borderId="1" xfId="0" applyFont="1" applyBorder="1"/>
    <xf numFmtId="0" fontId="7" fillId="0" borderId="1" xfId="3" quotePrefix="1" applyFont="1" applyBorder="1"/>
    <xf numFmtId="0" fontId="7" fillId="0" borderId="1" xfId="3" applyFont="1" applyBorder="1"/>
    <xf numFmtId="0" fontId="5" fillId="3" borderId="1" xfId="0" applyFont="1" applyFill="1" applyBorder="1"/>
    <xf numFmtId="0" fontId="6" fillId="0" borderId="11" xfId="0" applyFont="1" applyBorder="1" applyAlignment="1">
      <alignment horizontal="left"/>
    </xf>
    <xf numFmtId="0" fontId="6" fillId="0" borderId="11" xfId="0" applyFont="1" applyBorder="1"/>
    <xf numFmtId="0" fontId="6" fillId="0" borderId="9" xfId="0" applyFont="1" applyBorder="1"/>
    <xf numFmtId="43" fontId="6" fillId="0" borderId="9" xfId="1" applyFont="1" applyBorder="1"/>
    <xf numFmtId="43" fontId="6" fillId="0" borderId="9" xfId="1" applyNumberFormat="1" applyFont="1" applyBorder="1"/>
    <xf numFmtId="43" fontId="6" fillId="0" borderId="9" xfId="0" applyNumberFormat="1" applyFont="1" applyBorder="1"/>
    <xf numFmtId="0" fontId="6" fillId="0" borderId="11" xfId="0" applyFont="1" applyBorder="1" applyAlignment="1">
      <alignment wrapText="1"/>
    </xf>
    <xf numFmtId="168" fontId="6" fillId="0" borderId="9" xfId="1" applyNumberFormat="1" applyFont="1" applyBorder="1"/>
    <xf numFmtId="43" fontId="6" fillId="0" borderId="0" xfId="0" applyNumberFormat="1" applyFont="1"/>
    <xf numFmtId="0" fontId="6" fillId="0" borderId="12" xfId="0" applyFont="1" applyBorder="1" applyAlignment="1">
      <alignment horizontal="left"/>
    </xf>
    <xf numFmtId="0" fontId="6" fillId="0" borderId="12" xfId="0" applyFont="1" applyBorder="1"/>
    <xf numFmtId="43" fontId="6" fillId="0" borderId="10" xfId="0" applyNumberFormat="1" applyFont="1" applyBorder="1"/>
    <xf numFmtId="0" fontId="6" fillId="0" borderId="0" xfId="0" applyFont="1" applyAlignment="1">
      <alignment horizontal="left"/>
    </xf>
    <xf numFmtId="0" fontId="8" fillId="3" borderId="2" xfId="0" applyFont="1" applyFill="1" applyBorder="1"/>
    <xf numFmtId="0" fontId="6" fillId="3" borderId="3" xfId="0" applyFont="1" applyFill="1" applyBorder="1"/>
    <xf numFmtId="0" fontId="6" fillId="3" borderId="4" xfId="0" applyFont="1" applyFill="1" applyBorder="1"/>
    <xf numFmtId="0" fontId="6" fillId="3" borderId="1" xfId="0" applyFont="1" applyFill="1" applyBorder="1"/>
    <xf numFmtId="0" fontId="6" fillId="3" borderId="1" xfId="0" applyFont="1" applyFill="1" applyBorder="1" applyAlignment="1">
      <alignment wrapText="1"/>
    </xf>
    <xf numFmtId="0" fontId="6" fillId="0" borderId="8" xfId="0" applyFont="1" applyBorder="1"/>
    <xf numFmtId="0" fontId="6" fillId="0" borderId="0" xfId="0" applyFont="1" applyBorder="1"/>
    <xf numFmtId="10" fontId="6" fillId="0" borderId="0" xfId="2" applyNumberFormat="1" applyFont="1"/>
    <xf numFmtId="2" fontId="6" fillId="0" borderId="0" xfId="0" applyNumberFormat="1" applyFont="1"/>
    <xf numFmtId="0" fontId="6" fillId="0" borderId="2" xfId="0" applyFont="1" applyBorder="1"/>
    <xf numFmtId="0" fontId="6" fillId="0" borderId="3" xfId="0" applyFont="1" applyBorder="1"/>
    <xf numFmtId="0" fontId="6" fillId="0" borderId="5" xfId="0" applyFont="1" applyBorder="1"/>
    <xf numFmtId="0" fontId="6" fillId="0" borderId="6" xfId="0" applyFont="1" applyBorder="1" applyAlignment="1">
      <alignment horizontal="left"/>
    </xf>
    <xf numFmtId="164" fontId="6" fillId="0" borderId="6" xfId="1" applyNumberFormat="1" applyFont="1" applyBorder="1"/>
    <xf numFmtId="0" fontId="6" fillId="0" borderId="0" xfId="0" applyFont="1" applyBorder="1" applyAlignment="1">
      <alignment horizontal="left"/>
    </xf>
    <xf numFmtId="164" fontId="6" fillId="0" borderId="0" xfId="1" applyNumberFormat="1" applyFont="1" applyBorder="1"/>
    <xf numFmtId="0" fontId="5" fillId="0" borderId="2" xfId="0" applyFont="1" applyBorder="1"/>
    <xf numFmtId="0" fontId="5" fillId="0" borderId="3" xfId="0" applyFont="1" applyBorder="1"/>
    <xf numFmtId="164" fontId="5" fillId="0" borderId="4" xfId="0" applyNumberFormat="1" applyFont="1" applyBorder="1"/>
    <xf numFmtId="164" fontId="6" fillId="0" borderId="0" xfId="0" applyNumberFormat="1" applyFont="1"/>
    <xf numFmtId="0" fontId="5" fillId="3" borderId="2" xfId="0" applyFont="1" applyFill="1" applyBorder="1"/>
    <xf numFmtId="0" fontId="5" fillId="3" borderId="3" xfId="0" applyFont="1" applyFill="1" applyBorder="1"/>
    <xf numFmtId="0" fontId="5" fillId="3" borderId="4" xfId="0" applyFont="1" applyFill="1" applyBorder="1"/>
    <xf numFmtId="164" fontId="6" fillId="0" borderId="1" xfId="1" applyNumberFormat="1" applyFont="1" applyBorder="1"/>
    <xf numFmtId="0" fontId="6" fillId="0" borderId="1" xfId="0" applyFont="1" applyFill="1" applyBorder="1"/>
    <xf numFmtId="0" fontId="5" fillId="3" borderId="6" xfId="0" applyFont="1" applyFill="1" applyBorder="1" applyAlignment="1">
      <alignment horizontal="center"/>
    </xf>
    <xf numFmtId="0" fontId="5" fillId="3" borderId="1" xfId="0" applyFont="1" applyFill="1" applyBorder="1" applyAlignment="1">
      <alignment horizontal="center"/>
    </xf>
    <xf numFmtId="0" fontId="5" fillId="0" borderId="6" xfId="0" applyFont="1" applyBorder="1"/>
    <xf numFmtId="0" fontId="6" fillId="0" borderId="15" xfId="0" applyFont="1" applyBorder="1"/>
    <xf numFmtId="0" fontId="6" fillId="0" borderId="7" xfId="0" applyFont="1" applyBorder="1"/>
    <xf numFmtId="164" fontId="6" fillId="0" borderId="11" xfId="0" applyNumberFormat="1" applyFont="1" applyBorder="1"/>
    <xf numFmtId="43" fontId="6" fillId="0" borderId="11" xfId="0" applyNumberFormat="1" applyFont="1" applyBorder="1"/>
    <xf numFmtId="0" fontId="6" fillId="0" borderId="0" xfId="0" applyFont="1" applyFill="1" applyBorder="1"/>
    <xf numFmtId="164" fontId="6" fillId="0" borderId="11" xfId="1" applyNumberFormat="1" applyFont="1" applyBorder="1"/>
    <xf numFmtId="164" fontId="6" fillId="0" borderId="9" xfId="0" applyNumberFormat="1" applyFont="1" applyBorder="1"/>
    <xf numFmtId="0" fontId="5" fillId="0" borderId="0" xfId="0" applyFont="1" applyBorder="1"/>
    <xf numFmtId="164" fontId="6" fillId="0" borderId="9" xfId="1" applyNumberFormat="1" applyFont="1" applyBorder="1"/>
    <xf numFmtId="164" fontId="6" fillId="0" borderId="8" xfId="0" applyNumberFormat="1" applyFont="1" applyFill="1" applyBorder="1"/>
    <xf numFmtId="0" fontId="6" fillId="0" borderId="13" xfId="0" applyFont="1" applyBorder="1"/>
    <xf numFmtId="0" fontId="6" fillId="0" borderId="14" xfId="0" applyFont="1" applyBorder="1"/>
    <xf numFmtId="0" fontId="5" fillId="3" borderId="1" xfId="0" applyFont="1" applyFill="1" applyBorder="1" applyAlignment="1">
      <alignment horizontal="center" vertical="center"/>
    </xf>
    <xf numFmtId="0" fontId="6" fillId="3" borderId="8" xfId="0" applyFont="1" applyFill="1" applyBorder="1"/>
    <xf numFmtId="0" fontId="6" fillId="3" borderId="0" xfId="0" applyFont="1" applyFill="1" applyBorder="1"/>
    <xf numFmtId="0" fontId="6" fillId="3" borderId="11" xfId="0" applyFont="1" applyFill="1" applyBorder="1"/>
    <xf numFmtId="0" fontId="6" fillId="3" borderId="9" xfId="0" applyFont="1" applyFill="1" applyBorder="1"/>
    <xf numFmtId="164" fontId="6" fillId="3" borderId="9" xfId="0" applyNumberFormat="1" applyFont="1" applyFill="1" applyBorder="1"/>
    <xf numFmtId="0" fontId="8" fillId="0" borderId="0" xfId="0" applyFont="1"/>
    <xf numFmtId="164" fontId="6" fillId="0" borderId="1" xfId="0" applyNumberFormat="1" applyFont="1" applyBorder="1"/>
    <xf numFmtId="0" fontId="6" fillId="0" borderId="6" xfId="0" applyFont="1" applyBorder="1"/>
    <xf numFmtId="164" fontId="6" fillId="0" borderId="10" xfId="0" applyNumberFormat="1" applyFont="1" applyBorder="1"/>
    <xf numFmtId="164" fontId="6" fillId="0" borderId="4" xfId="0" applyNumberFormat="1" applyFont="1" applyBorder="1"/>
    <xf numFmtId="9" fontId="6" fillId="0" borderId="0" xfId="0" applyNumberFormat="1" applyFont="1"/>
    <xf numFmtId="2" fontId="6" fillId="0" borderId="1" xfId="0" applyNumberFormat="1" applyFont="1" applyBorder="1"/>
    <xf numFmtId="2" fontId="6" fillId="0" borderId="1" xfId="1" applyNumberFormat="1" applyFont="1" applyBorder="1"/>
    <xf numFmtId="0" fontId="5" fillId="0" borderId="1" xfId="0" applyFont="1" applyBorder="1"/>
    <xf numFmtId="9" fontId="5" fillId="0" borderId="1" xfId="0" applyNumberFormat="1" applyFont="1" applyBorder="1"/>
    <xf numFmtId="0" fontId="6" fillId="0" borderId="1" xfId="0" applyFont="1" applyBorder="1" applyAlignment="1">
      <alignment horizontal="right"/>
    </xf>
    <xf numFmtId="0" fontId="6" fillId="0" borderId="1" xfId="0" applyFont="1" applyBorder="1" applyAlignment="1">
      <alignment horizontal="left"/>
    </xf>
    <xf numFmtId="43" fontId="6" fillId="0" borderId="1" xfId="0" applyNumberFormat="1" applyFont="1" applyBorder="1"/>
    <xf numFmtId="0" fontId="6" fillId="0" borderId="0" xfId="0" applyFont="1" applyAlignment="1">
      <alignment horizontal="right"/>
    </xf>
    <xf numFmtId="43" fontId="6" fillId="0" borderId="1" xfId="1" applyFont="1" applyBorder="1"/>
    <xf numFmtId="0" fontId="6" fillId="3" borderId="1" xfId="0" applyFont="1" applyFill="1" applyBorder="1" applyAlignment="1">
      <alignment horizontal="center"/>
    </xf>
    <xf numFmtId="164" fontId="6" fillId="0" borderId="0" xfId="1" applyNumberFormat="1" applyFont="1"/>
    <xf numFmtId="0" fontId="6" fillId="0" borderId="0" xfId="0" quotePrefix="1" applyFont="1"/>
    <xf numFmtId="0" fontId="8" fillId="3" borderId="0" xfId="0" applyFont="1" applyFill="1"/>
    <xf numFmtId="0" fontId="6" fillId="3" borderId="0" xfId="0" applyFont="1" applyFill="1"/>
    <xf numFmtId="10" fontId="6" fillId="0" borderId="1" xfId="2" applyNumberFormat="1" applyFont="1" applyBorder="1"/>
    <xf numFmtId="167" fontId="6" fillId="0" borderId="0" xfId="0" applyNumberFormat="1" applyFont="1"/>
    <xf numFmtId="10" fontId="6" fillId="2" borderId="0" xfId="0" applyNumberFormat="1" applyFont="1" applyFill="1"/>
    <xf numFmtId="0" fontId="6" fillId="2" borderId="0" xfId="0" applyFont="1" applyFill="1" applyAlignment="1">
      <alignment horizontal="right"/>
    </xf>
    <xf numFmtId="0" fontId="9" fillId="0" borderId="0" xfId="0" applyFont="1"/>
    <xf numFmtId="164" fontId="10" fillId="0" borderId="0" xfId="1" applyNumberFormat="1" applyFont="1"/>
    <xf numFmtId="10" fontId="10" fillId="0" borderId="0" xfId="1" applyNumberFormat="1" applyFont="1"/>
    <xf numFmtId="0" fontId="10" fillId="0" borderId="0" xfId="0" applyFont="1"/>
    <xf numFmtId="166" fontId="10" fillId="0" borderId="0" xfId="1" applyNumberFormat="1" applyFont="1"/>
    <xf numFmtId="9" fontId="6" fillId="0" borderId="1" xfId="0" applyNumberFormat="1" applyFont="1" applyBorder="1" applyAlignment="1">
      <alignment horizontal="center"/>
    </xf>
    <xf numFmtId="164" fontId="6" fillId="0" borderId="1" xfId="1" applyNumberFormat="1" applyFont="1" applyBorder="1" applyAlignment="1">
      <alignment horizontal="right"/>
    </xf>
    <xf numFmtId="16" fontId="6" fillId="0" borderId="0" xfId="0" applyNumberFormat="1" applyFont="1"/>
    <xf numFmtId="164" fontId="6" fillId="0" borderId="0" xfId="1" applyNumberFormat="1" applyFont="1" applyAlignment="1">
      <alignment horizontal="right"/>
    </xf>
    <xf numFmtId="0" fontId="6" fillId="0" borderId="1" xfId="0" applyFont="1" applyBorder="1" applyAlignment="1">
      <alignment vertical="top"/>
    </xf>
    <xf numFmtId="0" fontId="6" fillId="0" borderId="0" xfId="0" applyFont="1" applyAlignment="1">
      <alignment vertical="top"/>
    </xf>
    <xf numFmtId="164" fontId="6" fillId="0" borderId="1" xfId="0" applyNumberFormat="1" applyFont="1" applyBorder="1" applyAlignment="1">
      <alignment vertical="top"/>
    </xf>
    <xf numFmtId="165" fontId="6" fillId="0" borderId="1" xfId="0" applyNumberFormat="1" applyFont="1" applyBorder="1" applyAlignment="1">
      <alignment vertical="top" wrapText="1"/>
    </xf>
    <xf numFmtId="0" fontId="5" fillId="0" borderId="1" xfId="0" applyFont="1" applyBorder="1" applyAlignment="1">
      <alignment horizontal="center"/>
    </xf>
    <xf numFmtId="0" fontId="5" fillId="0" borderId="0" xfId="0" applyFont="1" applyAlignment="1">
      <alignment vertical="top"/>
    </xf>
    <xf numFmtId="0" fontId="5" fillId="0" borderId="1" xfId="0" applyFont="1" applyBorder="1" applyAlignment="1">
      <alignment vertical="top"/>
    </xf>
    <xf numFmtId="0" fontId="5" fillId="0" borderId="1" xfId="0" applyFont="1" applyBorder="1" applyAlignment="1">
      <alignment vertical="top" wrapText="1"/>
    </xf>
    <xf numFmtId="169" fontId="6" fillId="0" borderId="0" xfId="0" applyNumberFormat="1" applyFont="1"/>
    <xf numFmtId="43" fontId="5" fillId="0" borderId="4" xfId="0" applyNumberFormat="1" applyFont="1" applyBorder="1"/>
    <xf numFmtId="164" fontId="6" fillId="0" borderId="7" xfId="1" applyNumberFormat="1" applyFont="1" applyBorder="1" applyAlignment="1"/>
    <xf numFmtId="164" fontId="6" fillId="0" borderId="9" xfId="1" applyNumberFormat="1" applyFont="1" applyBorder="1" applyAlignment="1"/>
    <xf numFmtId="170" fontId="6" fillId="0" borderId="1" xfId="1" applyNumberFormat="1" applyFont="1" applyBorder="1"/>
    <xf numFmtId="0" fontId="6" fillId="0" borderId="17" xfId="0" applyFont="1" applyBorder="1"/>
    <xf numFmtId="0" fontId="6" fillId="0" borderId="18" xfId="0" applyFont="1" applyBorder="1"/>
    <xf numFmtId="0" fontId="6" fillId="0" borderId="16" xfId="0" applyFont="1" applyBorder="1"/>
    <xf numFmtId="0" fontId="6" fillId="0" borderId="19" xfId="0" applyFont="1" applyBorder="1"/>
    <xf numFmtId="43" fontId="6" fillId="0" borderId="19" xfId="1" applyFont="1" applyBorder="1"/>
    <xf numFmtId="0" fontId="5" fillId="3" borderId="1" xfId="0" applyFont="1" applyFill="1" applyBorder="1" applyAlignment="1">
      <alignment horizontal="center"/>
    </xf>
    <xf numFmtId="0" fontId="5" fillId="3" borderId="6"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6" fillId="0" borderId="1" xfId="0" applyFont="1" applyBorder="1" applyAlignment="1">
      <alignment horizontal="left"/>
    </xf>
    <xf numFmtId="0" fontId="6" fillId="3" borderId="1" xfId="0" applyFont="1" applyFill="1" applyBorder="1" applyAlignment="1">
      <alignment horizontal="center"/>
    </xf>
    <xf numFmtId="0" fontId="6" fillId="0" borderId="0" xfId="0" applyFont="1" applyAlignment="1">
      <alignment horizontal="left" wrapText="1"/>
    </xf>
    <xf numFmtId="0" fontId="0" fillId="0" borderId="0" xfId="0" applyAlignment="1">
      <alignment horizontal="center"/>
    </xf>
    <xf numFmtId="0" fontId="6" fillId="0" borderId="1" xfId="0" applyFont="1" applyBorder="1" applyAlignment="1">
      <alignment horizontal="center" vertical="center"/>
    </xf>
    <xf numFmtId="0" fontId="5" fillId="0" borderId="1" xfId="0" applyFont="1" applyBorder="1" applyAlignment="1">
      <alignment horizontal="center"/>
    </xf>
    <xf numFmtId="0" fontId="5" fillId="0" borderId="1" xfId="0" applyFont="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row r="1">
          <cell r="A1" t="str">
            <v>Annexure 3 - Complete Estimate of Civil and Plant and Machinery</v>
          </cell>
        </row>
      </sheetData>
      <sheetData sheetId="4">
        <row r="1">
          <cell r="A1" t="str">
            <v>Annexure 4 - Estimated Cost of Production</v>
          </cell>
        </row>
      </sheetData>
      <sheetData sheetId="5">
        <row r="1">
          <cell r="A1" t="str">
            <v>Annexure 5- Projected balance sheet</v>
          </cell>
        </row>
      </sheetData>
      <sheetData sheetId="6">
        <row r="1">
          <cell r="A1" t="str">
            <v>Annexure 6 - Requirement of Power and Fuel</v>
          </cell>
        </row>
      </sheetData>
      <sheetData sheetId="7">
        <row r="1">
          <cell r="A1" t="str">
            <v>Annexure 7 - Details of Mnpower (Technical)</v>
          </cell>
        </row>
      </sheetData>
      <sheetData sheetId="8">
        <row r="1">
          <cell r="A1" t="str">
            <v>Annexure 8 - Details of Mnpower (Administrative)</v>
          </cell>
        </row>
      </sheetData>
      <sheetData sheetId="9">
        <row r="1">
          <cell r="A1" t="str">
            <v>Annexure 9 - Computation of Depreciation</v>
          </cell>
        </row>
      </sheetData>
      <sheetData sheetId="10">
        <row r="1">
          <cell r="A1" t="str">
            <v>Annexure 10 - Calculation of Income tax</v>
          </cell>
        </row>
      </sheetData>
      <sheetData sheetId="11">
        <row r="1">
          <cell r="A1" t="str">
            <v>Annexure 11- Break even analysis (At maximum capacity utilization)</v>
          </cell>
        </row>
      </sheetData>
      <sheetData sheetId="12"/>
      <sheetData sheetId="13">
        <row r="1">
          <cell r="A1" t="str">
            <v>Annexure 13 - Repayment schedule</v>
          </cell>
        </row>
      </sheetData>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8"/>
  <sheetViews>
    <sheetView tabSelected="1" workbookViewId="0"/>
  </sheetViews>
  <sheetFormatPr defaultRowHeight="17" x14ac:dyDescent="0.6"/>
  <cols>
    <col min="1" max="1" width="57.90625" style="8" bestFit="1" customWidth="1"/>
    <col min="2" max="2" width="14.453125" style="8" bestFit="1" customWidth="1"/>
    <col min="3" max="16384" width="8.7265625" style="8"/>
  </cols>
  <sheetData>
    <row r="1" spans="1:2" x14ac:dyDescent="0.6">
      <c r="A1" s="7" t="s">
        <v>306</v>
      </c>
    </row>
    <row r="3" spans="1:2" x14ac:dyDescent="0.6">
      <c r="A3" s="7" t="s">
        <v>189</v>
      </c>
    </row>
    <row r="5" spans="1:2" x14ac:dyDescent="0.6">
      <c r="A5" s="12" t="s">
        <v>190</v>
      </c>
      <c r="B5" s="12" t="s">
        <v>191</v>
      </c>
    </row>
    <row r="6" spans="1:2" x14ac:dyDescent="0.6">
      <c r="A6" s="9" t="str">
        <f>'[1]Ann 1'!A3</f>
        <v>Annexure 1 - Estimated cost of the project</v>
      </c>
      <c r="B6" s="10" t="s">
        <v>192</v>
      </c>
    </row>
    <row r="7" spans="1:2" x14ac:dyDescent="0.6">
      <c r="A7" s="9" t="str">
        <f>'[1]Ann 2'!A1</f>
        <v>Annexure 2 - Means of Finance</v>
      </c>
      <c r="B7" s="10" t="s">
        <v>193</v>
      </c>
    </row>
    <row r="8" spans="1:2" x14ac:dyDescent="0.6">
      <c r="A8" s="9" t="str">
        <f>'Ann 3'!A1</f>
        <v>Annexure 3 - Complete Estimate of Civil and Plant and Machinery</v>
      </c>
      <c r="B8" s="10" t="s">
        <v>209</v>
      </c>
    </row>
    <row r="9" spans="1:2" x14ac:dyDescent="0.6">
      <c r="A9" s="9" t="str">
        <f>'[1]Ann 4'!A1</f>
        <v>Annexure 4 - Estimated Cost of Production</v>
      </c>
      <c r="B9" s="10" t="s">
        <v>194</v>
      </c>
    </row>
    <row r="10" spans="1:2" x14ac:dyDescent="0.6">
      <c r="A10" s="9" t="str">
        <f>'[1]Ann 5'!A1</f>
        <v>Annexure 5- Projected balance sheet</v>
      </c>
      <c r="B10" s="10" t="s">
        <v>195</v>
      </c>
    </row>
    <row r="11" spans="1:2" x14ac:dyDescent="0.6">
      <c r="A11" s="9" t="str">
        <f>'Ann 8'!A1</f>
        <v>Annexure 8 - Details of Mnpower</v>
      </c>
      <c r="B11" s="10" t="s">
        <v>196</v>
      </c>
    </row>
    <row r="12" spans="1:2" x14ac:dyDescent="0.6">
      <c r="A12" s="9" t="str">
        <f>'Ann 9'!A1</f>
        <v>Annexure 9 - Computation of Depreciation</v>
      </c>
      <c r="B12" s="10" t="s">
        <v>197</v>
      </c>
    </row>
    <row r="13" spans="1:2" x14ac:dyDescent="0.6">
      <c r="A13" s="9" t="str">
        <f>'Ann 10'!A1</f>
        <v>Annexure 10 - Calculation of Income tax</v>
      </c>
      <c r="B13" s="10" t="s">
        <v>198</v>
      </c>
    </row>
    <row r="14" spans="1:2" x14ac:dyDescent="0.6">
      <c r="A14" s="9" t="str">
        <f>'[1]Ann 11'!A1</f>
        <v>Annexure 11- Break even analysis (At maximum capacity utilization)</v>
      </c>
      <c r="B14" s="10" t="s">
        <v>199</v>
      </c>
    </row>
    <row r="15" spans="1:2" x14ac:dyDescent="0.6">
      <c r="A15" s="9" t="str">
        <f>'Ann 13'!A1</f>
        <v>Annexure 13 - Repayment schedule</v>
      </c>
      <c r="B15" s="10" t="s">
        <v>200</v>
      </c>
    </row>
    <row r="16" spans="1:2" x14ac:dyDescent="0.6">
      <c r="A16" s="9" t="str">
        <f>'Ann 14'!A1</f>
        <v>Annexure 14 - Cash flow statement</v>
      </c>
      <c r="B16" s="10" t="s">
        <v>286</v>
      </c>
    </row>
    <row r="17" spans="1:2" x14ac:dyDescent="0.6">
      <c r="A17" s="9" t="str">
        <f>[1]Assumptions!B1</f>
        <v>Assumptions</v>
      </c>
      <c r="B17" s="11" t="s">
        <v>201</v>
      </c>
    </row>
    <row r="18" spans="1:2" x14ac:dyDescent="0.6">
      <c r="A18" s="9" t="str">
        <f>[1]Budgets!A1</f>
        <v>Sales Budget</v>
      </c>
      <c r="B18" s="11" t="s">
        <v>202</v>
      </c>
    </row>
  </sheetData>
  <hyperlinks>
    <hyperlink ref="B6" location="'Ann 1'!A1" display="Ann 1'!A1" xr:uid="{8392AB6D-212E-479A-A76E-720E2C0CDF1A}"/>
    <hyperlink ref="B7" location="'Ann 2'!A1" display="Ann 2'!A1" xr:uid="{B4E13D04-8C42-46A6-BAFD-20DB089CE0CE}"/>
    <hyperlink ref="B9" location="'Ann 5'!A1" display="Ann 4'!A1" xr:uid="{13CD8BC8-123F-4B27-B558-7700BF617505}"/>
    <hyperlink ref="B10" location="'Ann 6'!A1" display="Ann 5'!A1" xr:uid="{48243C34-7BE1-4B2C-9BAF-A4BEE1FA52A7}"/>
    <hyperlink ref="B11" location="'Ann 8'!A1" display="'Ann 8'!A1" xr:uid="{4BFF2D8E-3B2F-47B1-821E-2A9D5F3C599D}"/>
    <hyperlink ref="B12" location="'Ann 9'!A1" display="'Ann 9'!A1" xr:uid="{E91052E2-C8F3-4E24-802C-38C31EA75505}"/>
    <hyperlink ref="B13" location="'Ann 10'!A1" display="'Ann 10'!A1" xr:uid="{6A4B47E0-EA66-439F-8C5A-E0DF1C723C34}"/>
    <hyperlink ref="B14" location="'Ann 11'!A1" display="'Ann 11'!A1" xr:uid="{91648EFB-F5F2-42E9-8853-705ACD4F62EF}"/>
    <hyperlink ref="B15" location="'Ann 13'!A1" display="'Ann 13'!A1" xr:uid="{D748CAF8-9377-4D17-A5F2-F1A083E6D389}"/>
    <hyperlink ref="B17" location="Assumptions!A1" display="Assumptions!A1" xr:uid="{E978F649-0532-497D-92AA-EF316AAFA8E7}"/>
    <hyperlink ref="B18" location="Budgets!A1" display="Budgets!A1" xr:uid="{4CD23AF4-AE8A-40D8-A5ED-3F33524C9974}"/>
    <hyperlink ref="B8" location="'Ann 3'!A1" display="'Ann 3'!A1" xr:uid="{103D0423-931A-4127-89EA-F0D3EE7C4F91}"/>
    <hyperlink ref="B16" location="'Ann 14'!A1" display="'Ann 14'!A1" xr:uid="{C838FF0E-FB21-4681-BB24-3699D664F32C}"/>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B7" sqref="B7"/>
    </sheetView>
  </sheetViews>
  <sheetFormatPr defaultRowHeight="17" x14ac:dyDescent="0.6"/>
  <cols>
    <col min="1" max="1" width="20.90625" style="8" customWidth="1"/>
    <col min="2" max="10" width="13.6328125" style="8" bestFit="1" customWidth="1"/>
    <col min="11" max="16384" width="8.7265625" style="8"/>
  </cols>
  <sheetData>
    <row r="1" spans="1:10" x14ac:dyDescent="0.6">
      <c r="A1" s="7" t="s">
        <v>97</v>
      </c>
    </row>
    <row r="3" spans="1:10" x14ac:dyDescent="0.6">
      <c r="A3" s="72" t="s">
        <v>98</v>
      </c>
    </row>
    <row r="5" spans="1:10" x14ac:dyDescent="0.6">
      <c r="A5" s="128" t="s">
        <v>3</v>
      </c>
      <c r="B5" s="128" t="s">
        <v>47</v>
      </c>
      <c r="C5" s="128"/>
      <c r="D5" s="128"/>
      <c r="E5" s="128"/>
      <c r="F5" s="128"/>
      <c r="G5" s="128"/>
      <c r="H5" s="128"/>
      <c r="I5" s="128"/>
      <c r="J5" s="128"/>
    </row>
    <row r="6" spans="1:10" x14ac:dyDescent="0.6">
      <c r="A6" s="128"/>
      <c r="B6" s="87" t="s">
        <v>38</v>
      </c>
      <c r="C6" s="87" t="s">
        <v>39</v>
      </c>
      <c r="D6" s="87" t="s">
        <v>40</v>
      </c>
      <c r="E6" s="87" t="s">
        <v>41</v>
      </c>
      <c r="F6" s="87" t="s">
        <v>42</v>
      </c>
      <c r="G6" s="87" t="s">
        <v>43</v>
      </c>
      <c r="H6" s="87" t="s">
        <v>44</v>
      </c>
      <c r="I6" s="87" t="s">
        <v>45</v>
      </c>
      <c r="J6" s="87" t="s">
        <v>46</v>
      </c>
    </row>
    <row r="7" spans="1:10" x14ac:dyDescent="0.6">
      <c r="A7" s="9" t="s">
        <v>99</v>
      </c>
      <c r="B7" s="49">
        <f>'Ann 4'!C12</f>
        <v>1091972.1153846155</v>
      </c>
      <c r="C7" s="49">
        <f>'Ann 4'!D12</f>
        <v>1278009.6153846157</v>
      </c>
      <c r="D7" s="49">
        <f>'Ann 4'!E12</f>
        <v>1487363.461538462</v>
      </c>
      <c r="E7" s="49">
        <f>'Ann 4'!F12</f>
        <v>1713217.3076923084</v>
      </c>
      <c r="F7" s="49">
        <f>'Ann 4'!G12</f>
        <v>1957221.1538461549</v>
      </c>
      <c r="G7" s="49">
        <f>'Ann 4'!H12</f>
        <v>2221190.0000000014</v>
      </c>
      <c r="H7" s="49">
        <f>'Ann 4'!I12</f>
        <v>2507120.3461538483</v>
      </c>
      <c r="I7" s="49">
        <f>'Ann 4'!J12</f>
        <v>2800575.6500000022</v>
      </c>
      <c r="J7" s="49">
        <f>'Ann 4'!K12</f>
        <v>3092883.2150000026</v>
      </c>
    </row>
    <row r="8" spans="1:10" x14ac:dyDescent="0.6">
      <c r="A8" s="9" t="s">
        <v>100</v>
      </c>
      <c r="B8" s="49">
        <v>0</v>
      </c>
      <c r="C8" s="49">
        <v>0</v>
      </c>
      <c r="D8" s="49">
        <v>0</v>
      </c>
      <c r="E8" s="49">
        <v>0</v>
      </c>
      <c r="F8" s="49">
        <v>0</v>
      </c>
      <c r="G8" s="49">
        <v>0</v>
      </c>
      <c r="H8" s="49">
        <v>0</v>
      </c>
      <c r="I8" s="49">
        <v>0</v>
      </c>
      <c r="J8" s="49">
        <v>0</v>
      </c>
    </row>
    <row r="9" spans="1:10" x14ac:dyDescent="0.6">
      <c r="A9" s="9" t="s">
        <v>101</v>
      </c>
      <c r="B9" s="49">
        <f>B7+B8</f>
        <v>1091972.1153846155</v>
      </c>
      <c r="C9" s="49">
        <f t="shared" ref="C9:J9" si="0">C7+C8</f>
        <v>1278009.6153846157</v>
      </c>
      <c r="D9" s="49">
        <f t="shared" si="0"/>
        <v>1487363.461538462</v>
      </c>
      <c r="E9" s="49">
        <f t="shared" si="0"/>
        <v>1713217.3076923084</v>
      </c>
      <c r="F9" s="49">
        <f t="shared" si="0"/>
        <v>1957221.1538461549</v>
      </c>
      <c r="G9" s="49">
        <f t="shared" si="0"/>
        <v>2221190.0000000014</v>
      </c>
      <c r="H9" s="49">
        <f t="shared" si="0"/>
        <v>2507120.3461538483</v>
      </c>
      <c r="I9" s="49">
        <f t="shared" si="0"/>
        <v>2800575.6500000022</v>
      </c>
      <c r="J9" s="49">
        <f t="shared" si="0"/>
        <v>3092883.2150000026</v>
      </c>
    </row>
    <row r="10" spans="1:10" x14ac:dyDescent="0.6">
      <c r="A10" s="9" t="s">
        <v>102</v>
      </c>
      <c r="B10" s="49">
        <f>SUM('Ann 9'!C12:E12)</f>
        <v>821250</v>
      </c>
      <c r="C10" s="49">
        <f>SUM('Ann 9'!C13:E13)</f>
        <v>698062.5</v>
      </c>
      <c r="D10" s="49">
        <f>SUM('Ann 9'!C14:E14)</f>
        <v>593353.125</v>
      </c>
      <c r="E10" s="49">
        <f>SUM('Ann 9'!C15:E15)</f>
        <v>504350.15625</v>
      </c>
      <c r="F10" s="49">
        <f>SUM('Ann 9'!C16:E16)</f>
        <v>428697.6328125</v>
      </c>
      <c r="G10" s="49">
        <f>SUM('Ann 9'!C17:E17)</f>
        <v>364392.98789062497</v>
      </c>
      <c r="H10" s="49">
        <f>SUM('Ann 9'!C18:E18)</f>
        <v>309734.03970703128</v>
      </c>
      <c r="I10" s="49">
        <f>SUM('Ann 9'!C19:E19)</f>
        <v>263273.93375097658</v>
      </c>
      <c r="J10" s="49">
        <f>SUM('Ann 9'!C20:E20)</f>
        <v>223782.84368833006</v>
      </c>
    </row>
    <row r="11" spans="1:10" x14ac:dyDescent="0.6">
      <c r="A11" s="9" t="s">
        <v>101</v>
      </c>
      <c r="B11" s="49">
        <f>B9-B10</f>
        <v>270722.11538461549</v>
      </c>
      <c r="C11" s="49">
        <f t="shared" ref="C11:J11" si="1">C9-C10</f>
        <v>579947.11538461572</v>
      </c>
      <c r="D11" s="49">
        <f t="shared" si="1"/>
        <v>894010.33653846197</v>
      </c>
      <c r="E11" s="49">
        <f t="shared" si="1"/>
        <v>1208867.1514423084</v>
      </c>
      <c r="F11" s="49">
        <f t="shared" si="1"/>
        <v>1528523.5210336549</v>
      </c>
      <c r="G11" s="49">
        <f t="shared" si="1"/>
        <v>1856797.0121093765</v>
      </c>
      <c r="H11" s="49">
        <f t="shared" si="1"/>
        <v>2197386.3064468172</v>
      </c>
      <c r="I11" s="49">
        <f t="shared" si="1"/>
        <v>2537301.7162490254</v>
      </c>
      <c r="J11" s="49">
        <f t="shared" si="1"/>
        <v>2869100.3713116725</v>
      </c>
    </row>
    <row r="12" spans="1:10" x14ac:dyDescent="0.6">
      <c r="A12" s="9" t="s">
        <v>103</v>
      </c>
      <c r="B12" s="86">
        <v>0</v>
      </c>
      <c r="C12" s="86">
        <v>0</v>
      </c>
      <c r="D12" s="86">
        <v>0</v>
      </c>
      <c r="E12" s="86">
        <v>0</v>
      </c>
      <c r="F12" s="86">
        <v>0</v>
      </c>
      <c r="G12" s="86">
        <v>0</v>
      </c>
      <c r="H12" s="86">
        <v>0</v>
      </c>
      <c r="I12" s="86">
        <v>0</v>
      </c>
      <c r="J12" s="86">
        <v>0</v>
      </c>
    </row>
    <row r="13" spans="1:10" x14ac:dyDescent="0.6">
      <c r="A13" s="9" t="s">
        <v>104</v>
      </c>
      <c r="B13" s="73">
        <f>B11</f>
        <v>270722.11538461549</v>
      </c>
      <c r="C13" s="73">
        <f t="shared" ref="C13:J13" si="2">C11</f>
        <v>579947.11538461572</v>
      </c>
      <c r="D13" s="73">
        <f t="shared" si="2"/>
        <v>894010.33653846197</v>
      </c>
      <c r="E13" s="73">
        <f t="shared" si="2"/>
        <v>1208867.1514423084</v>
      </c>
      <c r="F13" s="73">
        <f t="shared" si="2"/>
        <v>1528523.5210336549</v>
      </c>
      <c r="G13" s="73">
        <f t="shared" si="2"/>
        <v>1856797.0121093765</v>
      </c>
      <c r="H13" s="73">
        <f t="shared" si="2"/>
        <v>2197386.3064468172</v>
      </c>
      <c r="I13" s="73">
        <f t="shared" si="2"/>
        <v>2537301.7162490254</v>
      </c>
      <c r="J13" s="73">
        <f t="shared" si="2"/>
        <v>2869100.3713116725</v>
      </c>
    </row>
    <row r="14" spans="1:10" x14ac:dyDescent="0.6">
      <c r="A14" s="9" t="s">
        <v>105</v>
      </c>
      <c r="B14" s="73">
        <f>B13*30%</f>
        <v>81216.634615384639</v>
      </c>
      <c r="C14" s="73">
        <f t="shared" ref="C14:J14" si="3">C13*30%</f>
        <v>173984.13461538471</v>
      </c>
      <c r="D14" s="73">
        <f t="shared" si="3"/>
        <v>268203.10096153856</v>
      </c>
      <c r="E14" s="73">
        <f t="shared" si="3"/>
        <v>362660.14543269255</v>
      </c>
      <c r="F14" s="73">
        <f t="shared" si="3"/>
        <v>458557.05631009646</v>
      </c>
      <c r="G14" s="73">
        <f t="shared" si="3"/>
        <v>557039.10363281297</v>
      </c>
      <c r="H14" s="73">
        <f t="shared" si="3"/>
        <v>659215.89193404512</v>
      </c>
      <c r="I14" s="73">
        <f t="shared" si="3"/>
        <v>761190.51487470756</v>
      </c>
      <c r="J14" s="73">
        <f t="shared" si="3"/>
        <v>860730.11139350175</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G32"/>
  <sheetViews>
    <sheetView workbookViewId="0">
      <selection activeCell="E19" sqref="E19"/>
    </sheetView>
  </sheetViews>
  <sheetFormatPr defaultRowHeight="17" x14ac:dyDescent="0.6"/>
  <cols>
    <col min="1" max="1" width="8.7265625" style="8"/>
    <col min="2" max="2" width="26.7265625" style="8" bestFit="1" customWidth="1"/>
    <col min="3" max="3" width="14.6328125" style="8" bestFit="1" customWidth="1"/>
    <col min="4" max="4" width="13.54296875" style="8" bestFit="1" customWidth="1"/>
    <col min="5" max="5" width="13.6328125" style="8" bestFit="1" customWidth="1"/>
    <col min="6" max="14" width="8.7265625" style="8"/>
    <col min="15" max="15" width="13.6328125" style="8" bestFit="1" customWidth="1"/>
    <col min="16" max="16" width="12.54296875" style="8" bestFit="1" customWidth="1"/>
    <col min="17" max="16384" width="8.7265625" style="8"/>
  </cols>
  <sheetData>
    <row r="1" spans="1:7" x14ac:dyDescent="0.6">
      <c r="A1" s="7" t="s">
        <v>68</v>
      </c>
    </row>
    <row r="3" spans="1:7" x14ac:dyDescent="0.6">
      <c r="A3" s="90" t="s">
        <v>69</v>
      </c>
      <c r="B3" s="91"/>
      <c r="C3" s="91"/>
      <c r="D3" s="91"/>
      <c r="E3" s="91"/>
    </row>
    <row r="5" spans="1:7" x14ac:dyDescent="0.6">
      <c r="B5" s="8" t="s">
        <v>49</v>
      </c>
      <c r="E5" s="88" t="e">
        <f>'Ann 4'!#REF!/70%</f>
        <v>#REF!</v>
      </c>
    </row>
    <row r="6" spans="1:7" x14ac:dyDescent="0.6">
      <c r="B6" s="8" t="s">
        <v>70</v>
      </c>
    </row>
    <row r="7" spans="1:7" x14ac:dyDescent="0.6">
      <c r="B7" s="89" t="s">
        <v>71</v>
      </c>
      <c r="D7" s="45" t="e">
        <f>E5*5%</f>
        <v>#REF!</v>
      </c>
    </row>
    <row r="8" spans="1:7" x14ac:dyDescent="0.6">
      <c r="B8" s="89" t="s">
        <v>72</v>
      </c>
      <c r="D8" s="45">
        <f>'Ann 2'!C5*100000*10%</f>
        <v>0</v>
      </c>
      <c r="E8" s="45"/>
    </row>
    <row r="9" spans="1:7" x14ac:dyDescent="0.6">
      <c r="B9" s="89" t="s">
        <v>75</v>
      </c>
      <c r="D9" s="45" t="e">
        <f>'Ann 4'!#REF!</f>
        <v>#REF!</v>
      </c>
      <c r="E9" s="45" t="e">
        <f>SUM(D7:D9)</f>
        <v>#REF!</v>
      </c>
      <c r="G9" s="21"/>
    </row>
    <row r="10" spans="1:7" x14ac:dyDescent="0.6">
      <c r="B10" s="8" t="s">
        <v>73</v>
      </c>
      <c r="E10" s="45" t="e">
        <f>E5-E9</f>
        <v>#REF!</v>
      </c>
    </row>
    <row r="11" spans="1:7" x14ac:dyDescent="0.6">
      <c r="B11" s="8" t="s">
        <v>233</v>
      </c>
    </row>
    <row r="12" spans="1:7" x14ac:dyDescent="0.6">
      <c r="B12" s="8" t="s">
        <v>74</v>
      </c>
      <c r="E12" s="45">
        <f>'Ann 8'!E14</f>
        <v>2072400</v>
      </c>
    </row>
    <row r="13" spans="1:7" x14ac:dyDescent="0.6">
      <c r="B13" s="8" t="s">
        <v>289</v>
      </c>
      <c r="E13" s="45" t="e">
        <f>'Ann 4'!#REF!</f>
        <v>#REF!</v>
      </c>
    </row>
    <row r="14" spans="1:7" x14ac:dyDescent="0.6">
      <c r="B14" s="8" t="s">
        <v>76</v>
      </c>
      <c r="E14" s="45">
        <f>'Ann 9'!F12</f>
        <v>821250</v>
      </c>
    </row>
    <row r="15" spans="1:7" x14ac:dyDescent="0.6">
      <c r="B15" s="8" t="s">
        <v>262</v>
      </c>
      <c r="E15" s="45">
        <v>240000</v>
      </c>
    </row>
    <row r="16" spans="1:7" x14ac:dyDescent="0.6">
      <c r="B16" s="8" t="s">
        <v>231</v>
      </c>
      <c r="E16" s="45">
        <v>100000</v>
      </c>
    </row>
    <row r="17" spans="1:5" x14ac:dyDescent="0.6">
      <c r="B17" s="8" t="s">
        <v>185</v>
      </c>
      <c r="E17" s="45">
        <f>SUM('Ann 13'!E9:E12)*100000</f>
        <v>285527.88461538457</v>
      </c>
    </row>
    <row r="18" spans="1:5" x14ac:dyDescent="0.6">
      <c r="B18" s="8" t="s">
        <v>77</v>
      </c>
      <c r="E18" s="45" t="e">
        <f>SUM(E12:E17)</f>
        <v>#REF!</v>
      </c>
    </row>
    <row r="20" spans="1:5" x14ac:dyDescent="0.6">
      <c r="B20" s="52" t="s">
        <v>3</v>
      </c>
      <c r="C20" s="52" t="s">
        <v>234</v>
      </c>
    </row>
    <row r="21" spans="1:5" x14ac:dyDescent="0.6">
      <c r="B21" s="9" t="s">
        <v>78</v>
      </c>
      <c r="C21" s="9">
        <f>Budgets!D21</f>
        <v>35</v>
      </c>
    </row>
    <row r="22" spans="1:5" x14ac:dyDescent="0.6">
      <c r="B22" s="9" t="s">
        <v>256</v>
      </c>
      <c r="C22" s="9"/>
    </row>
    <row r="23" spans="1:5" x14ac:dyDescent="0.6">
      <c r="B23" s="9" t="s">
        <v>257</v>
      </c>
      <c r="C23" s="9">
        <f>Budgets!E21*1.1/70%</f>
        <v>28.285714285714288</v>
      </c>
    </row>
    <row r="24" spans="1:5" x14ac:dyDescent="0.6">
      <c r="B24" s="9" t="s">
        <v>258</v>
      </c>
      <c r="C24" s="84" t="e">
        <f>D9/Budgets!C21</f>
        <v>#REF!</v>
      </c>
    </row>
    <row r="25" spans="1:5" x14ac:dyDescent="0.6">
      <c r="B25" s="9" t="s">
        <v>259</v>
      </c>
      <c r="C25" s="9">
        <f>C21*10%</f>
        <v>3.5</v>
      </c>
    </row>
    <row r="26" spans="1:5" x14ac:dyDescent="0.6">
      <c r="B26" s="9" t="s">
        <v>260</v>
      </c>
      <c r="C26" s="84">
        <f>D8/Budgets!C17</f>
        <v>0</v>
      </c>
    </row>
    <row r="27" spans="1:5" x14ac:dyDescent="0.6">
      <c r="B27" s="9" t="s">
        <v>261</v>
      </c>
      <c r="C27" s="9" t="e">
        <f>C21-SUM(C23:C26)</f>
        <v>#REF!</v>
      </c>
    </row>
    <row r="28" spans="1:5" x14ac:dyDescent="0.6">
      <c r="B28" s="9" t="s">
        <v>232</v>
      </c>
      <c r="C28" s="86" t="e">
        <f>E18/C27</f>
        <v>#REF!</v>
      </c>
    </row>
    <row r="29" spans="1:5" x14ac:dyDescent="0.6">
      <c r="B29" s="9" t="s">
        <v>184</v>
      </c>
      <c r="C29" s="92" t="e">
        <f>C28/Budgets!C21</f>
        <v>#REF!</v>
      </c>
    </row>
    <row r="30" spans="1:5" x14ac:dyDescent="0.6">
      <c r="C30" s="33"/>
    </row>
    <row r="31" spans="1:5" ht="49" customHeight="1" x14ac:dyDescent="0.6">
      <c r="A31" s="129" t="s">
        <v>210</v>
      </c>
      <c r="B31" s="129"/>
      <c r="C31" s="129"/>
      <c r="D31" s="129"/>
      <c r="E31" s="129"/>
    </row>
    <row r="32" spans="1:5" ht="86.5" customHeight="1" x14ac:dyDescent="0.6">
      <c r="A32" s="129" t="s">
        <v>292</v>
      </c>
      <c r="B32" s="129"/>
      <c r="C32" s="129"/>
      <c r="D32" s="129"/>
      <c r="E32" s="129"/>
    </row>
  </sheetData>
  <mergeCells count="2">
    <mergeCell ref="A31:E31"/>
    <mergeCell ref="A32:E3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79</v>
      </c>
    </row>
    <row r="3" spans="1:11" x14ac:dyDescent="0.35">
      <c r="C3" s="130" t="s">
        <v>80</v>
      </c>
      <c r="D3" s="130"/>
      <c r="E3" s="130"/>
      <c r="F3" s="130"/>
      <c r="G3" s="130"/>
      <c r="H3" s="130"/>
      <c r="I3" s="130"/>
      <c r="J3" s="130"/>
      <c r="K3" s="130"/>
    </row>
    <row r="4" spans="1:11" x14ac:dyDescent="0.35">
      <c r="C4">
        <v>1</v>
      </c>
      <c r="D4">
        <v>2</v>
      </c>
      <c r="E4">
        <v>3</v>
      </c>
      <c r="F4">
        <v>4</v>
      </c>
      <c r="G4">
        <v>5</v>
      </c>
      <c r="H4">
        <v>6</v>
      </c>
      <c r="I4">
        <v>7</v>
      </c>
      <c r="J4">
        <v>8</v>
      </c>
      <c r="K4">
        <v>9</v>
      </c>
    </row>
    <row r="5" spans="1:11" x14ac:dyDescent="0.35">
      <c r="A5" t="s">
        <v>81</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82</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83</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dimension ref="A1:G36"/>
  <sheetViews>
    <sheetView topLeftCell="A22" workbookViewId="0">
      <selection activeCell="D4" sqref="D4"/>
    </sheetView>
  </sheetViews>
  <sheetFormatPr defaultRowHeight="17" x14ac:dyDescent="0.6"/>
  <cols>
    <col min="1" max="1" width="4.54296875" style="8" bestFit="1" customWidth="1"/>
    <col min="2" max="2" width="7.36328125" style="8" bestFit="1" customWidth="1"/>
    <col min="3" max="3" width="17.81640625" style="8" bestFit="1" customWidth="1"/>
    <col min="4" max="4" width="17.36328125" style="8" bestFit="1" customWidth="1"/>
    <col min="5" max="5" width="7.26953125" style="8" bestFit="1" customWidth="1"/>
    <col min="6" max="16384" width="8.7265625" style="8"/>
  </cols>
  <sheetData>
    <row r="1" spans="1:7" x14ac:dyDescent="0.6">
      <c r="A1" s="7" t="s">
        <v>84</v>
      </c>
    </row>
    <row r="3" spans="1:7" x14ac:dyDescent="0.6">
      <c r="A3" s="72" t="s">
        <v>85</v>
      </c>
    </row>
    <row r="4" spans="1:7" x14ac:dyDescent="0.6">
      <c r="A4" s="8" t="s">
        <v>86</v>
      </c>
      <c r="D4" s="93">
        <f>'Ann 2'!C6</f>
        <v>48.05</v>
      </c>
    </row>
    <row r="5" spans="1:7" x14ac:dyDescent="0.6">
      <c r="A5" s="8" t="s">
        <v>87</v>
      </c>
      <c r="D5" s="94">
        <v>0.06</v>
      </c>
    </row>
    <row r="6" spans="1:7" x14ac:dyDescent="0.6">
      <c r="A6" s="8" t="s">
        <v>88</v>
      </c>
      <c r="D6" s="95" t="s">
        <v>146</v>
      </c>
    </row>
    <row r="8" spans="1:7" x14ac:dyDescent="0.6">
      <c r="A8" s="29" t="s">
        <v>67</v>
      </c>
      <c r="B8" s="29" t="s">
        <v>89</v>
      </c>
      <c r="C8" s="29" t="s">
        <v>90</v>
      </c>
      <c r="D8" s="29" t="s">
        <v>92</v>
      </c>
      <c r="E8" s="29" t="s">
        <v>91</v>
      </c>
    </row>
    <row r="9" spans="1:7" x14ac:dyDescent="0.6">
      <c r="A9" s="131">
        <v>1</v>
      </c>
      <c r="B9" s="9">
        <v>1</v>
      </c>
      <c r="C9" s="78">
        <f>$D$4</f>
        <v>48.05</v>
      </c>
      <c r="D9" s="9">
        <v>0</v>
      </c>
      <c r="E9" s="9">
        <f>C9*$D$5/4</f>
        <v>0.72074999999999989</v>
      </c>
    </row>
    <row r="10" spans="1:7" x14ac:dyDescent="0.6">
      <c r="A10" s="131"/>
      <c r="B10" s="9">
        <v>2</v>
      </c>
      <c r="C10" s="78">
        <f>$D$4</f>
        <v>48.05</v>
      </c>
      <c r="D10" s="9">
        <v>0</v>
      </c>
      <c r="E10" s="9">
        <f t="shared" ref="E10:E36" si="0">C10*$D$5/4</f>
        <v>0.72074999999999989</v>
      </c>
      <c r="G10" s="96"/>
    </row>
    <row r="11" spans="1:7" x14ac:dyDescent="0.6">
      <c r="A11" s="131"/>
      <c r="B11" s="9">
        <v>3</v>
      </c>
      <c r="C11" s="78">
        <f>$D$4</f>
        <v>48.05</v>
      </c>
      <c r="D11" s="9">
        <f>D4/26</f>
        <v>1.848076923076923</v>
      </c>
      <c r="E11" s="9">
        <f t="shared" si="0"/>
        <v>0.72074999999999989</v>
      </c>
    </row>
    <row r="12" spans="1:7" x14ac:dyDescent="0.6">
      <c r="A12" s="131"/>
      <c r="B12" s="9">
        <v>4</v>
      </c>
      <c r="C12" s="9">
        <f t="shared" ref="C12:C17" si="1">C11-D11</f>
        <v>46.201923076923073</v>
      </c>
      <c r="D12" s="9">
        <f>D11</f>
        <v>1.848076923076923</v>
      </c>
      <c r="E12" s="9">
        <f t="shared" si="0"/>
        <v>0.69302884615384608</v>
      </c>
    </row>
    <row r="13" spans="1:7" x14ac:dyDescent="0.6">
      <c r="A13" s="131">
        <v>2</v>
      </c>
      <c r="B13" s="9">
        <v>1</v>
      </c>
      <c r="C13" s="9">
        <f t="shared" si="1"/>
        <v>44.353846153846149</v>
      </c>
      <c r="D13" s="9">
        <f t="shared" ref="D13:D35" si="2">D12</f>
        <v>1.848076923076923</v>
      </c>
      <c r="E13" s="9">
        <f t="shared" si="0"/>
        <v>0.66530769230769216</v>
      </c>
    </row>
    <row r="14" spans="1:7" x14ac:dyDescent="0.6">
      <c r="A14" s="131"/>
      <c r="B14" s="9">
        <v>2</v>
      </c>
      <c r="C14" s="9">
        <f t="shared" si="1"/>
        <v>42.505769230769225</v>
      </c>
      <c r="D14" s="9">
        <f t="shared" si="2"/>
        <v>1.848076923076923</v>
      </c>
      <c r="E14" s="9">
        <f t="shared" si="0"/>
        <v>0.63758653846153834</v>
      </c>
    </row>
    <row r="15" spans="1:7" x14ac:dyDescent="0.6">
      <c r="A15" s="131"/>
      <c r="B15" s="9">
        <v>3</v>
      </c>
      <c r="C15" s="9">
        <f t="shared" si="1"/>
        <v>40.657692307692301</v>
      </c>
      <c r="D15" s="9">
        <f t="shared" si="2"/>
        <v>1.848076923076923</v>
      </c>
      <c r="E15" s="9">
        <f t="shared" si="0"/>
        <v>0.60986538461538453</v>
      </c>
    </row>
    <row r="16" spans="1:7" x14ac:dyDescent="0.6">
      <c r="A16" s="131"/>
      <c r="B16" s="9">
        <v>4</v>
      </c>
      <c r="C16" s="9">
        <f t="shared" si="1"/>
        <v>38.809615384615377</v>
      </c>
      <c r="D16" s="9">
        <f t="shared" si="2"/>
        <v>1.848076923076923</v>
      </c>
      <c r="E16" s="9">
        <f t="shared" si="0"/>
        <v>0.58214423076923061</v>
      </c>
    </row>
    <row r="17" spans="1:5" x14ac:dyDescent="0.6">
      <c r="A17" s="131">
        <v>3</v>
      </c>
      <c r="B17" s="9">
        <v>1</v>
      </c>
      <c r="C17" s="9">
        <f t="shared" si="1"/>
        <v>36.961538461538453</v>
      </c>
      <c r="D17" s="9">
        <f t="shared" si="2"/>
        <v>1.848076923076923</v>
      </c>
      <c r="E17" s="9">
        <f t="shared" si="0"/>
        <v>0.5544230769230768</v>
      </c>
    </row>
    <row r="18" spans="1:5" x14ac:dyDescent="0.6">
      <c r="A18" s="131"/>
      <c r="B18" s="9">
        <v>2</v>
      </c>
      <c r="C18" s="9">
        <f t="shared" ref="C18:C36" si="3">C17-D17</f>
        <v>35.113461538461529</v>
      </c>
      <c r="D18" s="9">
        <f t="shared" si="2"/>
        <v>1.848076923076923</v>
      </c>
      <c r="E18" s="9">
        <f t="shared" si="0"/>
        <v>0.52670192307692287</v>
      </c>
    </row>
    <row r="19" spans="1:5" x14ac:dyDescent="0.6">
      <c r="A19" s="131"/>
      <c r="B19" s="9">
        <v>3</v>
      </c>
      <c r="C19" s="9">
        <f t="shared" si="3"/>
        <v>33.265384615384605</v>
      </c>
      <c r="D19" s="9">
        <f t="shared" si="2"/>
        <v>1.848076923076923</v>
      </c>
      <c r="E19" s="9">
        <f t="shared" si="0"/>
        <v>0.49898076923076906</v>
      </c>
    </row>
    <row r="20" spans="1:5" x14ac:dyDescent="0.6">
      <c r="A20" s="131"/>
      <c r="B20" s="9">
        <v>4</v>
      </c>
      <c r="C20" s="9">
        <f t="shared" si="3"/>
        <v>31.417307692307681</v>
      </c>
      <c r="D20" s="9">
        <f t="shared" si="2"/>
        <v>1.848076923076923</v>
      </c>
      <c r="E20" s="9">
        <f t="shared" si="0"/>
        <v>0.47125961538461519</v>
      </c>
    </row>
    <row r="21" spans="1:5" x14ac:dyDescent="0.6">
      <c r="A21" s="131">
        <v>4</v>
      </c>
      <c r="B21" s="9">
        <v>1</v>
      </c>
      <c r="C21" s="9">
        <f t="shared" si="3"/>
        <v>29.569230769230757</v>
      </c>
      <c r="D21" s="9">
        <f t="shared" si="2"/>
        <v>1.848076923076923</v>
      </c>
      <c r="E21" s="9">
        <f t="shared" si="0"/>
        <v>0.44353846153846133</v>
      </c>
    </row>
    <row r="22" spans="1:5" x14ac:dyDescent="0.6">
      <c r="A22" s="131"/>
      <c r="B22" s="9">
        <v>2</v>
      </c>
      <c r="C22" s="9">
        <f t="shared" si="3"/>
        <v>27.721153846153832</v>
      </c>
      <c r="D22" s="9">
        <f t="shared" si="2"/>
        <v>1.848076923076923</v>
      </c>
      <c r="E22" s="9">
        <f t="shared" si="0"/>
        <v>0.41581730769230746</v>
      </c>
    </row>
    <row r="23" spans="1:5" x14ac:dyDescent="0.6">
      <c r="A23" s="131"/>
      <c r="B23" s="9">
        <v>3</v>
      </c>
      <c r="C23" s="9">
        <f t="shared" si="3"/>
        <v>25.873076923076908</v>
      </c>
      <c r="D23" s="9">
        <f t="shared" si="2"/>
        <v>1.848076923076923</v>
      </c>
      <c r="E23" s="9">
        <f t="shared" si="0"/>
        <v>0.38809615384615359</v>
      </c>
    </row>
    <row r="24" spans="1:5" x14ac:dyDescent="0.6">
      <c r="A24" s="131"/>
      <c r="B24" s="9">
        <v>4</v>
      </c>
      <c r="C24" s="9">
        <f t="shared" si="3"/>
        <v>24.024999999999984</v>
      </c>
      <c r="D24" s="9">
        <f t="shared" si="2"/>
        <v>1.848076923076923</v>
      </c>
      <c r="E24" s="9">
        <f t="shared" si="0"/>
        <v>0.36037499999999978</v>
      </c>
    </row>
    <row r="25" spans="1:5" x14ac:dyDescent="0.6">
      <c r="A25" s="131">
        <v>5</v>
      </c>
      <c r="B25" s="9">
        <v>1</v>
      </c>
      <c r="C25" s="9">
        <f t="shared" si="3"/>
        <v>22.17692307692306</v>
      </c>
      <c r="D25" s="9">
        <f t="shared" si="2"/>
        <v>1.848076923076923</v>
      </c>
      <c r="E25" s="9">
        <f t="shared" si="0"/>
        <v>0.33265384615384591</v>
      </c>
    </row>
    <row r="26" spans="1:5" x14ac:dyDescent="0.6">
      <c r="A26" s="131"/>
      <c r="B26" s="9">
        <v>2</v>
      </c>
      <c r="C26" s="9">
        <f t="shared" si="3"/>
        <v>20.328846153846136</v>
      </c>
      <c r="D26" s="9">
        <f t="shared" si="2"/>
        <v>1.848076923076923</v>
      </c>
      <c r="E26" s="9">
        <f t="shared" si="0"/>
        <v>0.30493269230769204</v>
      </c>
    </row>
    <row r="27" spans="1:5" x14ac:dyDescent="0.6">
      <c r="A27" s="131"/>
      <c r="B27" s="9">
        <v>3</v>
      </c>
      <c r="C27" s="9">
        <f t="shared" si="3"/>
        <v>18.480769230769212</v>
      </c>
      <c r="D27" s="9">
        <f t="shared" si="2"/>
        <v>1.848076923076923</v>
      </c>
      <c r="E27" s="9">
        <f t="shared" si="0"/>
        <v>0.27721153846153818</v>
      </c>
    </row>
    <row r="28" spans="1:5" x14ac:dyDescent="0.6">
      <c r="A28" s="131"/>
      <c r="B28" s="9">
        <v>4</v>
      </c>
      <c r="C28" s="9">
        <f t="shared" si="3"/>
        <v>16.632692307692288</v>
      </c>
      <c r="D28" s="9">
        <f t="shared" si="2"/>
        <v>1.848076923076923</v>
      </c>
      <c r="E28" s="9">
        <f t="shared" si="0"/>
        <v>0.24949038461538431</v>
      </c>
    </row>
    <row r="29" spans="1:5" x14ac:dyDescent="0.6">
      <c r="A29" s="131">
        <v>6</v>
      </c>
      <c r="B29" s="9">
        <v>1</v>
      </c>
      <c r="C29" s="9">
        <f t="shared" si="3"/>
        <v>14.784615384615366</v>
      </c>
      <c r="D29" s="9">
        <f t="shared" si="2"/>
        <v>1.848076923076923</v>
      </c>
      <c r="E29" s="9">
        <f t="shared" si="0"/>
        <v>0.22176923076923047</v>
      </c>
    </row>
    <row r="30" spans="1:5" x14ac:dyDescent="0.6">
      <c r="A30" s="131"/>
      <c r="B30" s="9">
        <v>2</v>
      </c>
      <c r="C30" s="9">
        <f t="shared" si="3"/>
        <v>12.936538461538444</v>
      </c>
      <c r="D30" s="9">
        <f t="shared" si="2"/>
        <v>1.848076923076923</v>
      </c>
      <c r="E30" s="9">
        <f t="shared" si="0"/>
        <v>0.19404807692307666</v>
      </c>
    </row>
    <row r="31" spans="1:5" x14ac:dyDescent="0.6">
      <c r="A31" s="131"/>
      <c r="B31" s="9">
        <v>3</v>
      </c>
      <c r="C31" s="9">
        <f t="shared" si="3"/>
        <v>11.088461538461521</v>
      </c>
      <c r="D31" s="9">
        <f t="shared" si="2"/>
        <v>1.848076923076923</v>
      </c>
      <c r="E31" s="9">
        <f t="shared" si="0"/>
        <v>0.16632692307692282</v>
      </c>
    </row>
    <row r="32" spans="1:5" x14ac:dyDescent="0.6">
      <c r="A32" s="131"/>
      <c r="B32" s="9">
        <v>4</v>
      </c>
      <c r="C32" s="9">
        <f t="shared" si="3"/>
        <v>9.240384615384599</v>
      </c>
      <c r="D32" s="9">
        <f t="shared" si="2"/>
        <v>1.848076923076923</v>
      </c>
      <c r="E32" s="9">
        <f t="shared" si="0"/>
        <v>0.13860576923076898</v>
      </c>
    </row>
    <row r="33" spans="1:5" x14ac:dyDescent="0.6">
      <c r="A33" s="131">
        <v>7</v>
      </c>
      <c r="B33" s="9">
        <v>1</v>
      </c>
      <c r="C33" s="9">
        <f t="shared" si="3"/>
        <v>7.3923076923076758</v>
      </c>
      <c r="D33" s="9">
        <f t="shared" si="2"/>
        <v>1.848076923076923</v>
      </c>
      <c r="E33" s="9">
        <f t="shared" si="0"/>
        <v>0.11088461538461514</v>
      </c>
    </row>
    <row r="34" spans="1:5" x14ac:dyDescent="0.6">
      <c r="A34" s="131"/>
      <c r="B34" s="9">
        <v>2</v>
      </c>
      <c r="C34" s="9">
        <f t="shared" si="3"/>
        <v>5.5442307692307526</v>
      </c>
      <c r="D34" s="9">
        <f t="shared" si="2"/>
        <v>1.848076923076923</v>
      </c>
      <c r="E34" s="9">
        <f t="shared" si="0"/>
        <v>8.3163461538461284E-2</v>
      </c>
    </row>
    <row r="35" spans="1:5" x14ac:dyDescent="0.6">
      <c r="A35" s="131"/>
      <c r="B35" s="9">
        <v>3</v>
      </c>
      <c r="C35" s="9">
        <f t="shared" si="3"/>
        <v>3.6961538461538295</v>
      </c>
      <c r="D35" s="9">
        <f t="shared" si="2"/>
        <v>1.848076923076923</v>
      </c>
      <c r="E35" s="9">
        <f t="shared" si="0"/>
        <v>5.5442307692307437E-2</v>
      </c>
    </row>
    <row r="36" spans="1:5" x14ac:dyDescent="0.6">
      <c r="A36" s="131"/>
      <c r="B36" s="9">
        <v>4</v>
      </c>
      <c r="C36" s="9">
        <f t="shared" si="3"/>
        <v>1.8480769230769065</v>
      </c>
      <c r="D36" s="78">
        <f>D4-SUM(D9:D35)</f>
        <v>1.8480769230769098</v>
      </c>
      <c r="E36" s="9">
        <f t="shared" si="0"/>
        <v>2.7721153846153597E-2</v>
      </c>
    </row>
  </sheetData>
  <mergeCells count="7">
    <mergeCell ref="A33:A36"/>
    <mergeCell ref="A9:A12"/>
    <mergeCell ref="A13:A16"/>
    <mergeCell ref="A17:A20"/>
    <mergeCell ref="A21:A24"/>
    <mergeCell ref="A25:A28"/>
    <mergeCell ref="A29:A3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1"/>
  <sheetViews>
    <sheetView topLeftCell="A6" workbookViewId="0">
      <selection activeCell="B21" sqref="B21"/>
    </sheetView>
  </sheetViews>
  <sheetFormatPr defaultRowHeight="17" x14ac:dyDescent="0.6"/>
  <cols>
    <col min="1" max="1" width="41.1796875" style="8" bestFit="1" customWidth="1"/>
    <col min="2" max="2" width="14.7265625" style="8" customWidth="1"/>
    <col min="3" max="11" width="14.7265625" style="8" bestFit="1" customWidth="1"/>
    <col min="12" max="12" width="13.6328125" style="8" bestFit="1" customWidth="1"/>
    <col min="13" max="16384" width="8.7265625" style="8"/>
  </cols>
  <sheetData>
    <row r="1" spans="1:11" x14ac:dyDescent="0.6">
      <c r="A1" s="7" t="s">
        <v>270</v>
      </c>
      <c r="B1" s="7"/>
    </row>
    <row r="2" spans="1:11" x14ac:dyDescent="0.6">
      <c r="A2" s="7"/>
      <c r="B2" s="7"/>
    </row>
    <row r="3" spans="1:11" x14ac:dyDescent="0.6">
      <c r="A3" s="52" t="s">
        <v>3</v>
      </c>
      <c r="B3" s="52">
        <v>0</v>
      </c>
      <c r="C3" s="52" t="s">
        <v>38</v>
      </c>
      <c r="D3" s="52" t="s">
        <v>39</v>
      </c>
      <c r="E3" s="52" t="s">
        <v>40</v>
      </c>
      <c r="F3" s="52" t="s">
        <v>41</v>
      </c>
      <c r="G3" s="52" t="s">
        <v>42</v>
      </c>
      <c r="H3" s="52" t="s">
        <v>43</v>
      </c>
      <c r="I3" s="52" t="s">
        <v>44</v>
      </c>
      <c r="J3" s="52" t="s">
        <v>45</v>
      </c>
      <c r="K3" s="52" t="s">
        <v>46</v>
      </c>
    </row>
    <row r="4" spans="1:11" x14ac:dyDescent="0.6">
      <c r="A4" s="9" t="s">
        <v>151</v>
      </c>
      <c r="B4" s="49">
        <f>'Ann 2'!C7*100000</f>
        <v>1225000</v>
      </c>
      <c r="C4" s="49">
        <f>B20</f>
        <v>1225000</v>
      </c>
      <c r="D4" s="49">
        <f>C20</f>
        <v>1589535.7115384617</v>
      </c>
      <c r="E4" s="49">
        <f t="shared" ref="E4:K4" si="0">D20</f>
        <v>1617060.038461539</v>
      </c>
      <c r="F4" s="49">
        <f t="shared" si="0"/>
        <v>1582593.8413461545</v>
      </c>
      <c r="G4" s="49">
        <f t="shared" si="0"/>
        <v>1501829.6295673084</v>
      </c>
      <c r="H4" s="49">
        <f t="shared" si="0"/>
        <v>1388652.286093751</v>
      </c>
      <c r="I4" s="49">
        <f t="shared" si="0"/>
        <v>1255464.8364489195</v>
      </c>
      <c r="J4" s="49">
        <f t="shared" si="0"/>
        <v>1113470.8148277372</v>
      </c>
      <c r="K4" s="49">
        <f t="shared" si="0"/>
        <v>1709822.4763535776</v>
      </c>
    </row>
    <row r="5" spans="1:11" x14ac:dyDescent="0.6">
      <c r="A5" s="9" t="s">
        <v>186</v>
      </c>
      <c r="B5" s="49">
        <f>'Ann 2'!C4*100000</f>
        <v>670000</v>
      </c>
      <c r="C5" s="49">
        <v>0</v>
      </c>
      <c r="D5" s="49">
        <v>0</v>
      </c>
      <c r="E5" s="49">
        <v>0</v>
      </c>
      <c r="F5" s="49">
        <v>0</v>
      </c>
      <c r="G5" s="49">
        <v>0</v>
      </c>
      <c r="H5" s="49">
        <v>0</v>
      </c>
      <c r="I5" s="49">
        <v>0</v>
      </c>
      <c r="J5" s="49">
        <v>0</v>
      </c>
      <c r="K5" s="49">
        <v>0</v>
      </c>
    </row>
    <row r="6" spans="1:11" x14ac:dyDescent="0.6">
      <c r="A6" s="9" t="s">
        <v>187</v>
      </c>
      <c r="B6" s="49">
        <f>'Ann 2'!C6*100000</f>
        <v>4805000</v>
      </c>
      <c r="C6" s="49">
        <v>0</v>
      </c>
      <c r="D6" s="49">
        <v>0</v>
      </c>
      <c r="E6" s="49">
        <v>0</v>
      </c>
      <c r="F6" s="49">
        <v>0</v>
      </c>
      <c r="G6" s="49">
        <v>0</v>
      </c>
      <c r="H6" s="49">
        <v>0</v>
      </c>
      <c r="I6" s="49">
        <v>0</v>
      </c>
      <c r="J6" s="49">
        <v>0</v>
      </c>
      <c r="K6" s="49">
        <v>0</v>
      </c>
    </row>
    <row r="7" spans="1:11" x14ac:dyDescent="0.6">
      <c r="A7" s="9" t="s">
        <v>188</v>
      </c>
      <c r="B7" s="49">
        <f>'Ann 9'!F9*100000</f>
        <v>5475000</v>
      </c>
      <c r="C7" s="49">
        <v>0</v>
      </c>
      <c r="D7" s="49">
        <v>0</v>
      </c>
      <c r="E7" s="49">
        <v>0</v>
      </c>
      <c r="F7" s="49">
        <v>0</v>
      </c>
      <c r="G7" s="49">
        <v>0</v>
      </c>
      <c r="H7" s="49">
        <v>0</v>
      </c>
      <c r="I7" s="49">
        <v>0</v>
      </c>
      <c r="J7" s="49">
        <v>0</v>
      </c>
      <c r="K7" s="49">
        <v>0</v>
      </c>
    </row>
    <row r="8" spans="1:11" x14ac:dyDescent="0.6">
      <c r="A8" s="9" t="s">
        <v>152</v>
      </c>
      <c r="B8" s="49">
        <v>0</v>
      </c>
      <c r="C8" s="49">
        <f>'Ann 4'!C7-'Ann 5'!C12</f>
        <v>1375000</v>
      </c>
      <c r="D8" s="49">
        <f>'Ann 4'!D7-'Ann 5'!D12</f>
        <v>1512500.0000000002</v>
      </c>
      <c r="E8" s="49">
        <f>'Ann 4'!E7-'Ann 5'!E12</f>
        <v>1663750.0000000005</v>
      </c>
      <c r="F8" s="49">
        <f>'Ann 4'!F7-'Ann 5'!F12</f>
        <v>1830125.0000000007</v>
      </c>
      <c r="G8" s="49">
        <f>'Ann 4'!G7-'Ann 5'!G12</f>
        <v>2013137.5000000009</v>
      </c>
      <c r="H8" s="49">
        <f>'Ann 4'!H7-'Ann 5'!H12</f>
        <v>2214451.2500000014</v>
      </c>
      <c r="I8" s="49">
        <f>'Ann 4'!I7-'Ann 5'!I12</f>
        <v>2435896.3750000019</v>
      </c>
      <c r="J8" s="49">
        <f>'Ann 4'!J7-'Ann 5'!J12</f>
        <v>2679486.012500002</v>
      </c>
      <c r="K8" s="49">
        <f>'Ann 4'!K7-'Ann 5'!K12</f>
        <v>2947434.6137500023</v>
      </c>
    </row>
    <row r="9" spans="1:11" x14ac:dyDescent="0.6">
      <c r="A9" s="9" t="s">
        <v>163</v>
      </c>
      <c r="B9" s="49">
        <v>0</v>
      </c>
      <c r="C9" s="49">
        <v>0</v>
      </c>
      <c r="D9" s="49">
        <v>0</v>
      </c>
      <c r="E9" s="49">
        <v>0</v>
      </c>
      <c r="F9" s="49">
        <v>0</v>
      </c>
      <c r="G9" s="49">
        <v>0</v>
      </c>
      <c r="H9" s="49">
        <v>0</v>
      </c>
      <c r="I9" s="49">
        <v>0</v>
      </c>
      <c r="J9" s="49">
        <v>0</v>
      </c>
      <c r="K9" s="49">
        <v>0</v>
      </c>
    </row>
    <row r="10" spans="1:11" x14ac:dyDescent="0.6">
      <c r="A10" s="9" t="s">
        <v>164</v>
      </c>
      <c r="B10" s="49">
        <v>0</v>
      </c>
      <c r="C10" s="49">
        <v>0</v>
      </c>
      <c r="D10" s="49">
        <f>'Ann 5'!C12</f>
        <v>125000</v>
      </c>
      <c r="E10" s="49">
        <f>'Ann 5'!D12</f>
        <v>137500.00000000003</v>
      </c>
      <c r="F10" s="49">
        <f>'Ann 5'!E12</f>
        <v>151250.00000000003</v>
      </c>
      <c r="G10" s="49">
        <f>'Ann 5'!F12</f>
        <v>166375.00000000006</v>
      </c>
      <c r="H10" s="49">
        <f>'Ann 5'!G12</f>
        <v>183012.50000000009</v>
      </c>
      <c r="I10" s="49">
        <f>'Ann 5'!H12</f>
        <v>201313.75000000012</v>
      </c>
      <c r="J10" s="49">
        <f>'Ann 5'!I12</f>
        <v>221445.12500000017</v>
      </c>
      <c r="K10" s="49">
        <f>'Ann 5'!J12</f>
        <v>243589.63750000016</v>
      </c>
    </row>
    <row r="11" spans="1:11" x14ac:dyDescent="0.6">
      <c r="A11" s="9" t="s">
        <v>165</v>
      </c>
      <c r="B11" s="49">
        <v>0</v>
      </c>
      <c r="C11" s="49">
        <v>0</v>
      </c>
      <c r="D11" s="49">
        <v>0</v>
      </c>
      <c r="E11" s="49">
        <v>0</v>
      </c>
      <c r="F11" s="49">
        <v>0</v>
      </c>
      <c r="G11" s="49">
        <v>0</v>
      </c>
      <c r="H11" s="49">
        <v>0</v>
      </c>
      <c r="I11" s="49">
        <v>0</v>
      </c>
      <c r="J11" s="49">
        <v>0</v>
      </c>
      <c r="K11" s="49">
        <v>0</v>
      </c>
    </row>
    <row r="12" spans="1:11" x14ac:dyDescent="0.6">
      <c r="A12" s="9" t="s">
        <v>230</v>
      </c>
      <c r="B12" s="49">
        <f>'Ann 4'!C13</f>
        <v>0</v>
      </c>
      <c r="C12" s="49">
        <v>0</v>
      </c>
      <c r="D12" s="49">
        <v>0</v>
      </c>
      <c r="E12" s="49">
        <v>0</v>
      </c>
      <c r="F12" s="49">
        <v>0</v>
      </c>
      <c r="G12" s="49">
        <v>0</v>
      </c>
      <c r="H12" s="49">
        <v>0</v>
      </c>
      <c r="I12" s="49">
        <v>0</v>
      </c>
      <c r="J12" s="49">
        <v>0</v>
      </c>
      <c r="K12" s="49">
        <v>0</v>
      </c>
    </row>
    <row r="13" spans="1:11" x14ac:dyDescent="0.6">
      <c r="A13" s="9" t="s">
        <v>153</v>
      </c>
      <c r="B13" s="49">
        <v>0</v>
      </c>
      <c r="C13" s="49">
        <f>'Ann 4'!C9+'Ann 4'!C10</f>
        <v>408027.88461538457</v>
      </c>
      <c r="D13" s="49">
        <f>'Ann 4'!D9+'Ann 4'!D10</f>
        <v>371990.38461538457</v>
      </c>
      <c r="E13" s="49">
        <f>'Ann 4'!E9+'Ann 4'!E10</f>
        <v>327636.53846153838</v>
      </c>
      <c r="F13" s="49">
        <f>'Ann 4'!F9+'Ann 4'!F10</f>
        <v>283282.69230769225</v>
      </c>
      <c r="G13" s="49">
        <f>'Ann 4'!G9+'Ann 4'!G10</f>
        <v>238928.84615384604</v>
      </c>
      <c r="H13" s="49">
        <f>'Ann 4'!H9+'Ann 4'!H10</f>
        <v>194574.99999999988</v>
      </c>
      <c r="I13" s="49">
        <f>'Ann 4'!I9+'Ann 4'!I10</f>
        <v>150221.15384615376</v>
      </c>
      <c r="J13" s="49">
        <f>'Ann 4'!J9+'Ann 4'!J10</f>
        <v>122500</v>
      </c>
      <c r="K13" s="49">
        <f>'Ann 4'!K9+'Ann 4'!K10</f>
        <v>122500</v>
      </c>
    </row>
    <row r="14" spans="1:11" x14ac:dyDescent="0.6">
      <c r="A14" s="9"/>
      <c r="B14" s="49">
        <f>B4+B5+B6-B7-B12</f>
        <v>1225000</v>
      </c>
      <c r="C14" s="49">
        <f t="shared" ref="C14:K14" si="1">C4+C8-C9+C10-C11-C13+C5+C6-C7</f>
        <v>2191972.1153846155</v>
      </c>
      <c r="D14" s="49">
        <f t="shared" si="1"/>
        <v>2855045.3269230775</v>
      </c>
      <c r="E14" s="49">
        <f t="shared" si="1"/>
        <v>3090673.5000000009</v>
      </c>
      <c r="F14" s="49">
        <f t="shared" si="1"/>
        <v>3280686.1490384629</v>
      </c>
      <c r="G14" s="49">
        <f t="shared" si="1"/>
        <v>3442413.2834134633</v>
      </c>
      <c r="H14" s="49">
        <f t="shared" si="1"/>
        <v>3591541.0360937524</v>
      </c>
      <c r="I14" s="49">
        <f t="shared" si="1"/>
        <v>3742453.8076027678</v>
      </c>
      <c r="J14" s="49">
        <f t="shared" si="1"/>
        <v>3891901.9523277394</v>
      </c>
      <c r="K14" s="49">
        <f t="shared" si="1"/>
        <v>4778346.7276035799</v>
      </c>
    </row>
    <row r="15" spans="1:11" x14ac:dyDescent="0.6">
      <c r="A15" s="9" t="s">
        <v>167</v>
      </c>
      <c r="B15" s="49">
        <v>0</v>
      </c>
      <c r="C15" s="49">
        <f>'Ann 4'!C16</f>
        <v>81216.634615384639</v>
      </c>
      <c r="D15" s="49">
        <f>'Ann 4'!D16</f>
        <v>173984.13461538471</v>
      </c>
      <c r="E15" s="49">
        <f>'Ann 4'!E16</f>
        <v>268203.10096153856</v>
      </c>
      <c r="F15" s="49">
        <f>'Ann 4'!F16</f>
        <v>362660.14543269255</v>
      </c>
      <c r="G15" s="49">
        <f>'Ann 4'!G16</f>
        <v>458557.05631009646</v>
      </c>
      <c r="H15" s="49">
        <f>'Ann 4'!H16</f>
        <v>557039.10363281297</v>
      </c>
      <c r="I15" s="49">
        <f>'Ann 4'!I16</f>
        <v>659215.89193404512</v>
      </c>
      <c r="J15" s="49">
        <f>'Ann 4'!J16</f>
        <v>761190.51487470756</v>
      </c>
      <c r="K15" s="49">
        <f>'Ann 4'!K16</f>
        <v>860730.11139350175</v>
      </c>
    </row>
    <row r="16" spans="1:11" x14ac:dyDescent="0.6">
      <c r="A16" s="9"/>
      <c r="B16" s="49">
        <v>0</v>
      </c>
      <c r="C16" s="49">
        <f>C14-C15</f>
        <v>2110755.480769231</v>
      </c>
      <c r="D16" s="49">
        <f t="shared" ref="D16:K16" si="2">D14-D15</f>
        <v>2681061.192307693</v>
      </c>
      <c r="E16" s="49">
        <f t="shared" si="2"/>
        <v>2822470.3990384624</v>
      </c>
      <c r="F16" s="49">
        <f t="shared" si="2"/>
        <v>2918026.0036057704</v>
      </c>
      <c r="G16" s="49">
        <f t="shared" si="2"/>
        <v>2983856.227103367</v>
      </c>
      <c r="H16" s="49">
        <f t="shared" si="2"/>
        <v>3034501.9324609395</v>
      </c>
      <c r="I16" s="49">
        <f t="shared" si="2"/>
        <v>3083237.9156687227</v>
      </c>
      <c r="J16" s="49">
        <f t="shared" si="2"/>
        <v>3130711.437453032</v>
      </c>
      <c r="K16" s="49">
        <f t="shared" si="2"/>
        <v>3917616.6162100779</v>
      </c>
    </row>
    <row r="17" spans="1:12" x14ac:dyDescent="0.6">
      <c r="A17" s="9" t="s">
        <v>166</v>
      </c>
      <c r="B17" s="49">
        <v>0</v>
      </c>
      <c r="C17" s="49">
        <f>'Ann 4'!C18</f>
        <v>151604.38461538471</v>
      </c>
      <c r="D17" s="49">
        <f>'Ann 4'!D18</f>
        <v>324770.3846153848</v>
      </c>
      <c r="E17" s="49">
        <f>'Ann 4'!E18</f>
        <v>500645.78846153879</v>
      </c>
      <c r="F17" s="49">
        <f>'Ann 4'!F18</f>
        <v>676965.60480769281</v>
      </c>
      <c r="G17" s="49">
        <f>'Ann 4'!G18</f>
        <v>855973.17177884676</v>
      </c>
      <c r="H17" s="49">
        <f>'Ann 4'!H18</f>
        <v>1039806.326781251</v>
      </c>
      <c r="I17" s="49">
        <f>'Ann 4'!I18</f>
        <v>1230536.3316102177</v>
      </c>
      <c r="J17" s="49">
        <f>'Ann 4'!J18</f>
        <v>1420888.9610994544</v>
      </c>
      <c r="K17" s="49">
        <f>'Ann 4'!K18</f>
        <v>1606696.2079345367</v>
      </c>
    </row>
    <row r="18" spans="1:12" x14ac:dyDescent="0.6">
      <c r="A18" s="9"/>
      <c r="B18" s="49">
        <v>0</v>
      </c>
      <c r="C18" s="49">
        <f>C16-C17</f>
        <v>1959151.0961538462</v>
      </c>
      <c r="D18" s="49">
        <f t="shared" ref="D18:K18" si="3">D16-D17</f>
        <v>2356290.807692308</v>
      </c>
      <c r="E18" s="49">
        <f t="shared" si="3"/>
        <v>2321824.6105769235</v>
      </c>
      <c r="F18" s="49">
        <f t="shared" si="3"/>
        <v>2241060.3987980774</v>
      </c>
      <c r="G18" s="49">
        <f t="shared" si="3"/>
        <v>2127883.05532452</v>
      </c>
      <c r="H18" s="49">
        <f t="shared" si="3"/>
        <v>1994695.6056796885</v>
      </c>
      <c r="I18" s="49">
        <f t="shared" si="3"/>
        <v>1852701.584058505</v>
      </c>
      <c r="J18" s="49">
        <f t="shared" si="3"/>
        <v>1709822.4763535776</v>
      </c>
      <c r="K18" s="49">
        <f t="shared" si="3"/>
        <v>2310920.4082755409</v>
      </c>
    </row>
    <row r="19" spans="1:12" x14ac:dyDescent="0.6">
      <c r="A19" s="9" t="s">
        <v>168</v>
      </c>
      <c r="B19" s="49">
        <v>0</v>
      </c>
      <c r="C19" s="49">
        <f>SUM('Ann 13'!D9:D12)*100000</f>
        <v>369615.38461538457</v>
      </c>
      <c r="D19" s="49">
        <f>SUM('Ann 13'!D13:D16)*100000</f>
        <v>739230.76923076913</v>
      </c>
      <c r="E19" s="49">
        <f>SUM('Ann 13'!D17:D20)*100000</f>
        <v>739230.76923076913</v>
      </c>
      <c r="F19" s="49">
        <f>SUM('Ann 13'!D21:D24)*100000</f>
        <v>739230.76923076913</v>
      </c>
      <c r="G19" s="49">
        <f>SUM('Ann 13'!D25:D28)*100000</f>
        <v>739230.76923076913</v>
      </c>
      <c r="H19" s="49">
        <f>SUM('Ann 13'!D29:D32)*100000</f>
        <v>739230.76923076913</v>
      </c>
      <c r="I19" s="49">
        <f>SUM('Ann 13'!D33:D36)*100000</f>
        <v>739230.76923076785</v>
      </c>
      <c r="J19" s="49">
        <v>0</v>
      </c>
      <c r="K19" s="49">
        <v>0</v>
      </c>
    </row>
    <row r="20" spans="1:12" x14ac:dyDescent="0.6">
      <c r="A20" s="9" t="s">
        <v>169</v>
      </c>
      <c r="B20" s="49">
        <f>B14</f>
        <v>1225000</v>
      </c>
      <c r="C20" s="49">
        <f>C18-C19</f>
        <v>1589535.7115384617</v>
      </c>
      <c r="D20" s="49">
        <f>D18-D19</f>
        <v>1617060.038461539</v>
      </c>
      <c r="E20" s="49">
        <f>E18-E19</f>
        <v>1582593.8413461545</v>
      </c>
      <c r="F20" s="49">
        <f t="shared" ref="F20:K20" si="4">F18-F19</f>
        <v>1501829.6295673084</v>
      </c>
      <c r="G20" s="49">
        <f t="shared" si="4"/>
        <v>1388652.286093751</v>
      </c>
      <c r="H20" s="49">
        <f t="shared" si="4"/>
        <v>1255464.8364489195</v>
      </c>
      <c r="I20" s="49">
        <f t="shared" si="4"/>
        <v>1113470.8148277372</v>
      </c>
      <c r="J20" s="49">
        <f t="shared" si="4"/>
        <v>1709822.4763535776</v>
      </c>
      <c r="K20" s="49">
        <f t="shared" si="4"/>
        <v>2310920.4082755409</v>
      </c>
    </row>
    <row r="21" spans="1:12" x14ac:dyDescent="0.6">
      <c r="B21" s="45"/>
    </row>
    <row r="22" spans="1:12" x14ac:dyDescent="0.6">
      <c r="A22" s="97" t="s">
        <v>170</v>
      </c>
      <c r="B22" s="98">
        <v>0.06</v>
      </c>
      <c r="C22" s="99"/>
      <c r="D22" s="97"/>
      <c r="E22" s="97"/>
      <c r="F22" s="97"/>
      <c r="G22" s="97"/>
      <c r="H22" s="97"/>
      <c r="I22" s="97"/>
      <c r="J22" s="97"/>
      <c r="K22" s="97"/>
      <c r="L22" s="97"/>
    </row>
    <row r="23" spans="1:12" x14ac:dyDescent="0.6">
      <c r="A23" s="97" t="s">
        <v>171</v>
      </c>
      <c r="B23" s="97">
        <v>1</v>
      </c>
      <c r="C23" s="100">
        <f>1/(1+$B$22)</f>
        <v>0.94339622641509424</v>
      </c>
      <c r="D23" s="100">
        <f>1/((1+$B$22)*(1+$B$22))</f>
        <v>0.88999644001423983</v>
      </c>
      <c r="E23" s="100">
        <f>1/((1+$B$22)*(1+$B$22)*(1+$B$22))</f>
        <v>0.8396192830323016</v>
      </c>
      <c r="F23" s="100">
        <f>1/((1+$B$22)*(1+$B$22)*(1+$B$22)*(1+$B$22))</f>
        <v>0.79209366323802044</v>
      </c>
      <c r="G23" s="100">
        <f>1/((1+$B$22)*(1+$B$22)*(1+$B$22)*(1+$B$22)*(1+$B$22))</f>
        <v>0.74725817286605689</v>
      </c>
      <c r="H23" s="100">
        <f>1/((1+$B$22)*(1+$B$22)*(1+$B$22)*(1+$B$22)*(1+$B$22)*(1+$B$22))</f>
        <v>0.70496054043967626</v>
      </c>
      <c r="I23" s="100">
        <f>1/((1+$B$22)*(1+$B$22)*(1+$B$22)*(1+$B$22)*(1+$B$22)*(1+$B$22)*(1+$B$22))</f>
        <v>0.6650571136223361</v>
      </c>
      <c r="J23" s="100">
        <f>1/((1+$B$22)*(1+$B$22)*(1+$B$22)*(1+$B$22)*(1+$B$22)*(1+$B$22)*(1+$B$22)*(1+$B$22))</f>
        <v>0.62741237134182648</v>
      </c>
      <c r="K23" s="100">
        <f>1/((1+$B$22)*(1+$B$22)*(1+$B$22)*(1+$B$22)*(1+$B$22)*(1+$B$22)*(1+$B$22)*(1+$B$22)*(1+$B$22))</f>
        <v>0.59189846353002495</v>
      </c>
      <c r="L23" s="97"/>
    </row>
    <row r="24" spans="1:12" x14ac:dyDescent="0.6">
      <c r="A24" s="97" t="s">
        <v>172</v>
      </c>
      <c r="B24" s="97">
        <f>B4+B8+B10+B5+B6</f>
        <v>6700000</v>
      </c>
      <c r="C24" s="97">
        <f>C4+C8+C10+C5+C6</f>
        <v>2600000</v>
      </c>
      <c r="D24" s="97">
        <f t="shared" ref="D24:K24" si="5">D4+D8+D10</f>
        <v>3227035.711538462</v>
      </c>
      <c r="E24" s="97">
        <f t="shared" si="5"/>
        <v>3418310.0384615394</v>
      </c>
      <c r="F24" s="97">
        <f t="shared" si="5"/>
        <v>3563968.8413461549</v>
      </c>
      <c r="G24" s="97">
        <f t="shared" si="5"/>
        <v>3681342.1295673093</v>
      </c>
      <c r="H24" s="97">
        <f t="shared" si="5"/>
        <v>3786116.0360937524</v>
      </c>
      <c r="I24" s="97">
        <f t="shared" si="5"/>
        <v>3892674.9614489214</v>
      </c>
      <c r="J24" s="97">
        <f t="shared" si="5"/>
        <v>4014401.9523277394</v>
      </c>
      <c r="K24" s="97">
        <f t="shared" si="5"/>
        <v>4900846.7276035799</v>
      </c>
      <c r="L24" s="97"/>
    </row>
    <row r="25" spans="1:12" x14ac:dyDescent="0.6">
      <c r="A25" s="97" t="s">
        <v>173</v>
      </c>
      <c r="B25" s="97">
        <f>B24*B23</f>
        <v>6700000</v>
      </c>
      <c r="C25" s="97">
        <f>C24*C23</f>
        <v>2452830.1886792448</v>
      </c>
      <c r="D25" s="97">
        <f t="shared" ref="D25:K25" si="6">D24*D23</f>
        <v>2872050.2950680507</v>
      </c>
      <c r="E25" s="97">
        <f t="shared" si="6"/>
        <v>2870079.0236751973</v>
      </c>
      <c r="F25" s="97">
        <f t="shared" si="6"/>
        <v>2822997.1352080391</v>
      </c>
      <c r="G25" s="97">
        <f t="shared" si="6"/>
        <v>2750912.9934353065</v>
      </c>
      <c r="H25" s="97">
        <f t="shared" si="6"/>
        <v>2669062.4069719766</v>
      </c>
      <c r="I25" s="97">
        <f t="shared" si="6"/>
        <v>2588851.1741311583</v>
      </c>
      <c r="J25" s="97">
        <f t="shared" si="6"/>
        <v>2518685.448429205</v>
      </c>
      <c r="K25" s="97">
        <f t="shared" si="6"/>
        <v>2900803.6480647097</v>
      </c>
      <c r="L25" s="97"/>
    </row>
    <row r="26" spans="1:12" x14ac:dyDescent="0.6">
      <c r="A26" s="97" t="s">
        <v>174</v>
      </c>
      <c r="B26" s="97" t="e">
        <f>B9+B11+B13+B15+B17+B19+B7+B12+#REF!</f>
        <v>#REF!</v>
      </c>
      <c r="C26" s="97">
        <f t="shared" ref="C26:K26" si="7">C9+C11+C13+C15+C17+C19+C7+C12</f>
        <v>1010464.2884615385</v>
      </c>
      <c r="D26" s="97">
        <f t="shared" si="7"/>
        <v>1609975.673076923</v>
      </c>
      <c r="E26" s="97">
        <f t="shared" si="7"/>
        <v>1835716.197115385</v>
      </c>
      <c r="F26" s="97">
        <f t="shared" si="7"/>
        <v>2062139.2117788466</v>
      </c>
      <c r="G26" s="97">
        <f t="shared" si="7"/>
        <v>2292689.8434735583</v>
      </c>
      <c r="H26" s="97">
        <f t="shared" si="7"/>
        <v>2530651.1996448329</v>
      </c>
      <c r="I26" s="97">
        <f t="shared" si="7"/>
        <v>2779204.1466211844</v>
      </c>
      <c r="J26" s="97">
        <f t="shared" si="7"/>
        <v>2304579.4759741621</v>
      </c>
      <c r="K26" s="97">
        <f t="shared" si="7"/>
        <v>2589926.3193280385</v>
      </c>
      <c r="L26" s="97"/>
    </row>
    <row r="27" spans="1:12" x14ac:dyDescent="0.6">
      <c r="A27" s="97" t="s">
        <v>175</v>
      </c>
      <c r="B27" s="97" t="e">
        <f>B26*B23</f>
        <v>#REF!</v>
      </c>
      <c r="C27" s="97">
        <f>C26*C23</f>
        <v>953268.19666182867</v>
      </c>
      <c r="D27" s="97">
        <f t="shared" ref="D27:K27" si="8">D26*D23</f>
        <v>1432872.617547991</v>
      </c>
      <c r="E27" s="97">
        <f t="shared" si="8"/>
        <v>1541302.7172728027</v>
      </c>
      <c r="F27" s="97">
        <f t="shared" si="8"/>
        <v>1633407.4023646705</v>
      </c>
      <c r="G27" s="97">
        <f t="shared" si="8"/>
        <v>1713231.2233826171</v>
      </c>
      <c r="H27" s="97">
        <f t="shared" si="8"/>
        <v>1784009.2373659364</v>
      </c>
      <c r="I27" s="97">
        <f t="shared" si="8"/>
        <v>1848329.4879191127</v>
      </c>
      <c r="J27" s="97">
        <f t="shared" si="8"/>
        <v>1445921.6739666529</v>
      </c>
      <c r="K27" s="97">
        <f t="shared" si="8"/>
        <v>1532973.4090662387</v>
      </c>
      <c r="L27" s="97"/>
    </row>
    <row r="28" spans="1:12" x14ac:dyDescent="0.6">
      <c r="A28" s="97"/>
      <c r="B28" s="97"/>
      <c r="C28" s="97"/>
      <c r="D28" s="97"/>
      <c r="E28" s="97"/>
      <c r="F28" s="97"/>
      <c r="G28" s="97"/>
      <c r="H28" s="97"/>
      <c r="I28" s="97"/>
      <c r="J28" s="97"/>
      <c r="K28" s="97"/>
      <c r="L28" s="97"/>
    </row>
    <row r="29" spans="1:12" x14ac:dyDescent="0.6">
      <c r="A29" s="97" t="s">
        <v>176</v>
      </c>
      <c r="B29" s="97" t="e">
        <f>B24-B26</f>
        <v>#REF!</v>
      </c>
      <c r="C29" s="97">
        <f>C24-C26</f>
        <v>1589535.7115384615</v>
      </c>
      <c r="D29" s="97">
        <f>D24-D26</f>
        <v>1617060.038461539</v>
      </c>
      <c r="E29" s="97">
        <f t="shared" ref="E29:K29" si="9">E24-E26</f>
        <v>1582593.8413461545</v>
      </c>
      <c r="F29" s="97">
        <f t="shared" si="9"/>
        <v>1501829.6295673084</v>
      </c>
      <c r="G29" s="97">
        <f t="shared" si="9"/>
        <v>1388652.286093751</v>
      </c>
      <c r="H29" s="97">
        <f t="shared" si="9"/>
        <v>1255464.8364489195</v>
      </c>
      <c r="I29" s="97">
        <f t="shared" si="9"/>
        <v>1113470.8148277369</v>
      </c>
      <c r="J29" s="97">
        <f t="shared" si="9"/>
        <v>1709822.4763535773</v>
      </c>
      <c r="K29" s="97">
        <f t="shared" si="9"/>
        <v>2310920.4082755414</v>
      </c>
      <c r="L29" s="97"/>
    </row>
    <row r="30" spans="1:12" x14ac:dyDescent="0.6">
      <c r="A30" s="97" t="s">
        <v>177</v>
      </c>
      <c r="B30" s="97" t="e">
        <f>B25-B27</f>
        <v>#REF!</v>
      </c>
      <c r="C30" s="97">
        <f>C29*C23</f>
        <v>1499561.9920174163</v>
      </c>
      <c r="D30" s="97">
        <f t="shared" ref="D30:K30" si="10">D29*D23</f>
        <v>1439177.6775200595</v>
      </c>
      <c r="E30" s="97">
        <f t="shared" si="10"/>
        <v>1328776.3064023943</v>
      </c>
      <c r="F30" s="97">
        <f t="shared" si="10"/>
        <v>1189589.7328433685</v>
      </c>
      <c r="G30" s="97">
        <f t="shared" si="10"/>
        <v>1037681.7700526892</v>
      </c>
      <c r="H30" s="97">
        <f t="shared" si="10"/>
        <v>885053.16960604012</v>
      </c>
      <c r="I30" s="97">
        <f t="shared" si="10"/>
        <v>740521.68621204537</v>
      </c>
      <c r="J30" s="97">
        <f t="shared" si="10"/>
        <v>1072763.774462552</v>
      </c>
      <c r="K30" s="97">
        <f t="shared" si="10"/>
        <v>1367830.2389984708</v>
      </c>
      <c r="L30" s="97">
        <f>SUM(C30:K30)</f>
        <v>10560956.348115036</v>
      </c>
    </row>
    <row r="31" spans="1:12" x14ac:dyDescent="0.6">
      <c r="C31" s="45"/>
      <c r="D31" s="45"/>
      <c r="E31" s="45"/>
      <c r="F31" s="45"/>
      <c r="G31" s="45"/>
    </row>
  </sheetData>
  <pageMargins left="0.7" right="0.7" top="0.75" bottom="0.75" header="0.3" footer="0.3"/>
  <pageSetup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K35"/>
  <sheetViews>
    <sheetView workbookViewId="0"/>
  </sheetViews>
  <sheetFormatPr defaultRowHeight="17" x14ac:dyDescent="0.6"/>
  <cols>
    <col min="1" max="1" width="8.7265625" style="8"/>
    <col min="2" max="2" width="61.81640625" style="8" bestFit="1" customWidth="1"/>
    <col min="3" max="11" width="16.08984375" style="8" bestFit="1" customWidth="1"/>
    <col min="12" max="12" width="12.54296875" style="8" bestFit="1" customWidth="1"/>
    <col min="13" max="16384" width="8.7265625" style="8"/>
  </cols>
  <sheetData>
    <row r="1" spans="1:11" x14ac:dyDescent="0.6">
      <c r="B1" s="7" t="s">
        <v>156</v>
      </c>
    </row>
    <row r="2" spans="1:11" x14ac:dyDescent="0.6">
      <c r="A2" s="126" t="s">
        <v>50</v>
      </c>
      <c r="B2" s="126" t="s">
        <v>3</v>
      </c>
      <c r="C2" s="123" t="s">
        <v>47</v>
      </c>
      <c r="D2" s="123"/>
      <c r="E2" s="123"/>
      <c r="F2" s="123"/>
      <c r="G2" s="123"/>
      <c r="H2" s="123"/>
      <c r="I2" s="123"/>
      <c r="J2" s="123"/>
      <c r="K2" s="123"/>
    </row>
    <row r="3" spans="1:11" x14ac:dyDescent="0.6">
      <c r="A3" s="126"/>
      <c r="B3" s="126"/>
      <c r="C3" s="52" t="s">
        <v>38</v>
      </c>
      <c r="D3" s="52" t="s">
        <v>39</v>
      </c>
      <c r="E3" s="52" t="s">
        <v>40</v>
      </c>
      <c r="F3" s="52" t="s">
        <v>41</v>
      </c>
      <c r="G3" s="52" t="s">
        <v>42</v>
      </c>
      <c r="H3" s="52" t="s">
        <v>43</v>
      </c>
      <c r="I3" s="52" t="s">
        <v>44</v>
      </c>
      <c r="J3" s="52" t="s">
        <v>45</v>
      </c>
      <c r="K3" s="52" t="s">
        <v>46</v>
      </c>
    </row>
    <row r="4" spans="1:11" x14ac:dyDescent="0.6">
      <c r="A4" s="9" t="s">
        <v>271</v>
      </c>
      <c r="B4" s="9" t="s">
        <v>229</v>
      </c>
      <c r="C4" s="101">
        <v>0.7</v>
      </c>
      <c r="D4" s="101">
        <v>0.75</v>
      </c>
      <c r="E4" s="101">
        <v>0.8</v>
      </c>
      <c r="F4" s="101">
        <v>0.85</v>
      </c>
      <c r="G4" s="101">
        <v>0.9</v>
      </c>
      <c r="H4" s="101">
        <v>0.95</v>
      </c>
      <c r="I4" s="101">
        <v>1</v>
      </c>
      <c r="J4" s="101">
        <v>1</v>
      </c>
      <c r="K4" s="101">
        <v>1</v>
      </c>
    </row>
    <row r="5" spans="1:11" x14ac:dyDescent="0.6">
      <c r="A5" s="9" t="s">
        <v>272</v>
      </c>
      <c r="B5" s="9" t="s">
        <v>280</v>
      </c>
      <c r="C5" s="102">
        <f>$C$17*C4</f>
        <v>9142560</v>
      </c>
      <c r="D5" s="102">
        <f t="shared" ref="D5:K5" si="0">$C$17*D4</f>
        <v>9795600</v>
      </c>
      <c r="E5" s="102">
        <f t="shared" si="0"/>
        <v>10448640</v>
      </c>
      <c r="F5" s="102">
        <f t="shared" si="0"/>
        <v>11101680</v>
      </c>
      <c r="G5" s="102">
        <f t="shared" si="0"/>
        <v>11754720</v>
      </c>
      <c r="H5" s="102">
        <f t="shared" si="0"/>
        <v>12407760</v>
      </c>
      <c r="I5" s="102">
        <f t="shared" si="0"/>
        <v>13060800</v>
      </c>
      <c r="J5" s="102">
        <f t="shared" si="0"/>
        <v>13060800</v>
      </c>
      <c r="K5" s="102">
        <f t="shared" si="0"/>
        <v>13060800</v>
      </c>
    </row>
    <row r="6" spans="1:11" x14ac:dyDescent="0.6">
      <c r="A6" s="9" t="s">
        <v>273</v>
      </c>
      <c r="B6" s="9" t="s">
        <v>281</v>
      </c>
      <c r="C6" s="102">
        <f>C5*2/3</f>
        <v>6095040</v>
      </c>
      <c r="D6" s="102">
        <f t="shared" ref="D6:K6" si="1">D5*2/3</f>
        <v>6530400</v>
      </c>
      <c r="E6" s="102">
        <f t="shared" si="1"/>
        <v>6965760</v>
      </c>
      <c r="F6" s="102">
        <f t="shared" si="1"/>
        <v>7401120</v>
      </c>
      <c r="G6" s="102">
        <f t="shared" si="1"/>
        <v>7836480</v>
      </c>
      <c r="H6" s="102">
        <f t="shared" si="1"/>
        <v>8271840</v>
      </c>
      <c r="I6" s="102">
        <f t="shared" si="1"/>
        <v>8707200</v>
      </c>
      <c r="J6" s="102">
        <f t="shared" si="1"/>
        <v>8707200</v>
      </c>
      <c r="K6" s="102">
        <f t="shared" si="1"/>
        <v>8707200</v>
      </c>
    </row>
    <row r="7" spans="1:11" x14ac:dyDescent="0.6">
      <c r="A7" s="9" t="s">
        <v>274</v>
      </c>
      <c r="B7" s="9" t="s">
        <v>282</v>
      </c>
      <c r="C7" s="49">
        <f>C5-C6</f>
        <v>3047520</v>
      </c>
      <c r="D7" s="49">
        <f t="shared" ref="D7:K7" si="2">D5-D6</f>
        <v>3265200</v>
      </c>
      <c r="E7" s="49">
        <f t="shared" si="2"/>
        <v>3482880</v>
      </c>
      <c r="F7" s="49">
        <f t="shared" si="2"/>
        <v>3700560</v>
      </c>
      <c r="G7" s="49">
        <f t="shared" si="2"/>
        <v>3918240</v>
      </c>
      <c r="H7" s="49">
        <f t="shared" si="2"/>
        <v>4135920</v>
      </c>
      <c r="I7" s="49">
        <f t="shared" si="2"/>
        <v>4353600</v>
      </c>
      <c r="J7" s="49">
        <f t="shared" si="2"/>
        <v>4353600</v>
      </c>
      <c r="K7" s="49">
        <f t="shared" si="2"/>
        <v>4353600</v>
      </c>
    </row>
    <row r="8" spans="1:11" x14ac:dyDescent="0.6">
      <c r="A8" s="9" t="s">
        <v>275</v>
      </c>
      <c r="B8" s="9" t="s">
        <v>283</v>
      </c>
      <c r="C8" s="49">
        <f>C6*$D$21</f>
        <v>213326400</v>
      </c>
      <c r="D8" s="49">
        <f>D6*$D$21*1.05</f>
        <v>239992200</v>
      </c>
      <c r="E8" s="49">
        <f t="shared" ref="E8:K8" si="3">E6*$D$21*1.05</f>
        <v>255991680</v>
      </c>
      <c r="F8" s="49">
        <f t="shared" si="3"/>
        <v>271991160</v>
      </c>
      <c r="G8" s="49">
        <f t="shared" si="3"/>
        <v>287990640</v>
      </c>
      <c r="H8" s="49">
        <f t="shared" si="3"/>
        <v>303990120</v>
      </c>
      <c r="I8" s="49">
        <f t="shared" si="3"/>
        <v>319989600</v>
      </c>
      <c r="J8" s="49">
        <f t="shared" si="3"/>
        <v>319989600</v>
      </c>
      <c r="K8" s="49">
        <f t="shared" si="3"/>
        <v>319989600</v>
      </c>
    </row>
    <row r="9" spans="1:11" x14ac:dyDescent="0.6">
      <c r="A9" s="9" t="s">
        <v>276</v>
      </c>
      <c r="B9" s="9" t="s">
        <v>284</v>
      </c>
      <c r="C9" s="49">
        <f>C7*$F$21</f>
        <v>457128</v>
      </c>
      <c r="D9" s="49">
        <f t="shared" ref="D9:K9" si="4">D7*$F$21</f>
        <v>489780</v>
      </c>
      <c r="E9" s="49">
        <f t="shared" si="4"/>
        <v>522432</v>
      </c>
      <c r="F9" s="49">
        <f t="shared" si="4"/>
        <v>555084</v>
      </c>
      <c r="G9" s="49">
        <f t="shared" si="4"/>
        <v>587736</v>
      </c>
      <c r="H9" s="49">
        <f t="shared" si="4"/>
        <v>620388</v>
      </c>
      <c r="I9" s="49">
        <f t="shared" si="4"/>
        <v>653040</v>
      </c>
      <c r="J9" s="49">
        <f t="shared" si="4"/>
        <v>653040</v>
      </c>
      <c r="K9" s="49">
        <f t="shared" si="4"/>
        <v>653040</v>
      </c>
    </row>
    <row r="10" spans="1:11" x14ac:dyDescent="0.6">
      <c r="A10" s="9" t="s">
        <v>277</v>
      </c>
      <c r="B10" s="9" t="s">
        <v>285</v>
      </c>
      <c r="C10" s="49">
        <f>C5/70%</f>
        <v>13060800</v>
      </c>
      <c r="D10" s="49">
        <f t="shared" ref="D10:K10" si="5">D5/70%</f>
        <v>13993714.285714287</v>
      </c>
      <c r="E10" s="49">
        <f t="shared" si="5"/>
        <v>14926628.571428573</v>
      </c>
      <c r="F10" s="49">
        <f t="shared" si="5"/>
        <v>15859542.857142858</v>
      </c>
      <c r="G10" s="49">
        <f t="shared" si="5"/>
        <v>16792457.142857146</v>
      </c>
      <c r="H10" s="49">
        <f t="shared" si="5"/>
        <v>17725371.428571429</v>
      </c>
      <c r="I10" s="49">
        <f t="shared" si="5"/>
        <v>18658285.714285716</v>
      </c>
      <c r="J10" s="49">
        <f t="shared" si="5"/>
        <v>18658285.714285716</v>
      </c>
      <c r="K10" s="49">
        <f t="shared" si="5"/>
        <v>18658285.714285716</v>
      </c>
    </row>
    <row r="11" spans="1:11" x14ac:dyDescent="0.6">
      <c r="A11" s="9" t="s">
        <v>278</v>
      </c>
      <c r="B11" s="9" t="s">
        <v>266</v>
      </c>
      <c r="C11" s="49">
        <f>10%*C5*10</f>
        <v>9142560</v>
      </c>
      <c r="D11" s="49">
        <f t="shared" ref="D11:K11" si="6">10%*D5*10</f>
        <v>9795600</v>
      </c>
      <c r="E11" s="49">
        <f t="shared" si="6"/>
        <v>10448640</v>
      </c>
      <c r="F11" s="49">
        <f t="shared" si="6"/>
        <v>11101680</v>
      </c>
      <c r="G11" s="49">
        <f t="shared" si="6"/>
        <v>11754720</v>
      </c>
      <c r="H11" s="49">
        <f t="shared" si="6"/>
        <v>12407760</v>
      </c>
      <c r="I11" s="49">
        <f t="shared" si="6"/>
        <v>13060800</v>
      </c>
      <c r="J11" s="49">
        <f t="shared" si="6"/>
        <v>13060800</v>
      </c>
      <c r="K11" s="49">
        <f t="shared" si="6"/>
        <v>13060800</v>
      </c>
    </row>
    <row r="12" spans="1:11" x14ac:dyDescent="0.6">
      <c r="A12" s="9" t="s">
        <v>279</v>
      </c>
      <c r="B12" s="9" t="s">
        <v>267</v>
      </c>
      <c r="C12" s="49">
        <f>15%*C5*30</f>
        <v>41141520</v>
      </c>
      <c r="D12" s="49">
        <f>(C12*D4/C4)*1.1</f>
        <v>48488220.000000007</v>
      </c>
      <c r="E12" s="49">
        <f t="shared" ref="E12:K12" si="7">(D12*E4/D4)*1.1</f>
        <v>56892844.800000012</v>
      </c>
      <c r="F12" s="49">
        <f t="shared" si="7"/>
        <v>66493512.360000007</v>
      </c>
      <c r="G12" s="49">
        <f t="shared" si="7"/>
        <v>77445384.984000027</v>
      </c>
      <c r="H12" s="49">
        <f t="shared" si="7"/>
        <v>89922697.009200037</v>
      </c>
      <c r="I12" s="49">
        <f t="shared" si="7"/>
        <v>104121017.58960006</v>
      </c>
      <c r="J12" s="49">
        <f t="shared" si="7"/>
        <v>114533119.34856007</v>
      </c>
      <c r="K12" s="49">
        <f t="shared" si="7"/>
        <v>125986431.28341608</v>
      </c>
    </row>
    <row r="13" spans="1:11" s="32" customFormat="1" x14ac:dyDescent="0.6">
      <c r="A13" s="9"/>
      <c r="B13" s="9" t="s">
        <v>255</v>
      </c>
      <c r="C13" s="49">
        <f>C9+C8+C11+C12</f>
        <v>264067608</v>
      </c>
      <c r="D13" s="49">
        <f t="shared" ref="D13:K13" si="8">D9+D8+D11+D12</f>
        <v>298765800</v>
      </c>
      <c r="E13" s="49">
        <f t="shared" si="8"/>
        <v>323855596.80000001</v>
      </c>
      <c r="F13" s="49">
        <f t="shared" si="8"/>
        <v>350141436.36000001</v>
      </c>
      <c r="G13" s="49">
        <f t="shared" si="8"/>
        <v>377778480.98400003</v>
      </c>
      <c r="H13" s="49">
        <f t="shared" si="8"/>
        <v>406940965.00920004</v>
      </c>
      <c r="I13" s="49">
        <f t="shared" si="8"/>
        <v>437824457.58960009</v>
      </c>
      <c r="J13" s="49">
        <f t="shared" si="8"/>
        <v>448236559.34856009</v>
      </c>
      <c r="K13" s="49">
        <f t="shared" si="8"/>
        <v>459689871.28341609</v>
      </c>
    </row>
    <row r="14" spans="1:11" x14ac:dyDescent="0.6">
      <c r="C14" s="34"/>
      <c r="D14" s="34"/>
      <c r="E14" s="34"/>
      <c r="F14" s="34"/>
      <c r="G14" s="34"/>
      <c r="H14" s="34"/>
      <c r="I14" s="34"/>
      <c r="J14" s="34"/>
      <c r="K14" s="34"/>
    </row>
    <row r="15" spans="1:11" x14ac:dyDescent="0.6">
      <c r="B15" s="7" t="s">
        <v>248</v>
      </c>
    </row>
    <row r="17" spans="2:11" x14ac:dyDescent="0.6">
      <c r="B17" s="8" t="s">
        <v>228</v>
      </c>
      <c r="C17" s="88">
        <f>3628*16*225</f>
        <v>13060800</v>
      </c>
      <c r="F17" s="103"/>
    </row>
    <row r="18" spans="2:11" x14ac:dyDescent="0.6">
      <c r="B18" s="8" t="s">
        <v>244</v>
      </c>
      <c r="C18" s="104" t="s">
        <v>243</v>
      </c>
    </row>
    <row r="20" spans="2:11" s="110" customFormat="1" ht="58" customHeight="1" x14ac:dyDescent="0.35">
      <c r="B20" s="111" t="s">
        <v>157</v>
      </c>
      <c r="C20" s="112" t="s">
        <v>158</v>
      </c>
      <c r="D20" s="112" t="s">
        <v>246</v>
      </c>
      <c r="E20" s="112" t="s">
        <v>245</v>
      </c>
      <c r="F20" s="112" t="s">
        <v>254</v>
      </c>
    </row>
    <row r="21" spans="2:11" s="106" customFormat="1" x14ac:dyDescent="0.35">
      <c r="B21" s="105" t="s">
        <v>159</v>
      </c>
      <c r="C21" s="107">
        <f>C17</f>
        <v>13060800</v>
      </c>
      <c r="D21" s="108">
        <v>35</v>
      </c>
      <c r="E21" s="108">
        <v>18</v>
      </c>
      <c r="F21" s="105">
        <v>0.15</v>
      </c>
    </row>
    <row r="23" spans="2:11" x14ac:dyDescent="0.6">
      <c r="B23" s="7" t="s">
        <v>247</v>
      </c>
    </row>
    <row r="24" spans="2:11" s="7" customFormat="1" x14ac:dyDescent="0.6">
      <c r="B24" s="133" t="s">
        <v>3</v>
      </c>
      <c r="C24" s="132" t="s">
        <v>47</v>
      </c>
      <c r="D24" s="132"/>
      <c r="E24" s="132"/>
      <c r="F24" s="132"/>
      <c r="G24" s="132"/>
      <c r="H24" s="132"/>
      <c r="I24" s="132"/>
      <c r="J24" s="132"/>
      <c r="K24" s="132"/>
    </row>
    <row r="25" spans="2:11" s="7" customFormat="1" x14ac:dyDescent="0.6">
      <c r="B25" s="133"/>
      <c r="C25" s="109" t="s">
        <v>38</v>
      </c>
      <c r="D25" s="109" t="s">
        <v>39</v>
      </c>
      <c r="E25" s="109" t="s">
        <v>40</v>
      </c>
      <c r="F25" s="109" t="s">
        <v>41</v>
      </c>
      <c r="G25" s="109" t="s">
        <v>42</v>
      </c>
      <c r="H25" s="109" t="s">
        <v>43</v>
      </c>
      <c r="I25" s="109" t="s">
        <v>44</v>
      </c>
      <c r="J25" s="109" t="s">
        <v>45</v>
      </c>
      <c r="K25" s="109" t="s">
        <v>46</v>
      </c>
    </row>
    <row r="26" spans="2:11" x14ac:dyDescent="0.6">
      <c r="B26" s="9" t="s">
        <v>249</v>
      </c>
      <c r="C26" s="86">
        <v>0</v>
      </c>
      <c r="D26" s="73">
        <f>C29</f>
        <v>60950.400000000373</v>
      </c>
      <c r="E26" s="73">
        <f t="shared" ref="E26:K26" si="9">D29</f>
        <v>126254.40000000037</v>
      </c>
      <c r="F26" s="73">
        <f t="shared" si="9"/>
        <v>195912</v>
      </c>
      <c r="G26" s="73">
        <f t="shared" si="9"/>
        <v>269923.20000000019</v>
      </c>
      <c r="H26" s="73">
        <f t="shared" si="9"/>
        <v>348288</v>
      </c>
      <c r="I26" s="73">
        <f t="shared" si="9"/>
        <v>265569.59999999963</v>
      </c>
      <c r="J26" s="73">
        <f t="shared" si="9"/>
        <v>178497.59999999963</v>
      </c>
      <c r="K26" s="73">
        <f t="shared" si="9"/>
        <v>91425.599999999627</v>
      </c>
    </row>
    <row r="27" spans="2:11" x14ac:dyDescent="0.6">
      <c r="B27" s="9" t="s">
        <v>250</v>
      </c>
      <c r="C27" s="73">
        <f>C6</f>
        <v>6095040</v>
      </c>
      <c r="D27" s="73">
        <f t="shared" ref="D27:K27" si="10">D6</f>
        <v>6530400</v>
      </c>
      <c r="E27" s="73">
        <f t="shared" si="10"/>
        <v>6965760</v>
      </c>
      <c r="F27" s="73">
        <f t="shared" si="10"/>
        <v>7401120</v>
      </c>
      <c r="G27" s="73">
        <f t="shared" si="10"/>
        <v>7836480</v>
      </c>
      <c r="H27" s="73">
        <f t="shared" si="10"/>
        <v>8271840</v>
      </c>
      <c r="I27" s="73">
        <f t="shared" si="10"/>
        <v>8707200</v>
      </c>
      <c r="J27" s="73">
        <f t="shared" si="10"/>
        <v>8707200</v>
      </c>
      <c r="K27" s="73">
        <f t="shared" si="10"/>
        <v>8707200</v>
      </c>
    </row>
    <row r="28" spans="2:11" x14ac:dyDescent="0.6">
      <c r="B28" s="9" t="s">
        <v>49</v>
      </c>
      <c r="C28" s="73">
        <f>C6*99%</f>
        <v>6034089.5999999996</v>
      </c>
      <c r="D28" s="73">
        <f t="shared" ref="D28:G28" si="11">D6*99%</f>
        <v>6465096</v>
      </c>
      <c r="E28" s="73">
        <f t="shared" si="11"/>
        <v>6896102.4000000004</v>
      </c>
      <c r="F28" s="73">
        <f t="shared" si="11"/>
        <v>7327108.7999999998</v>
      </c>
      <c r="G28" s="73">
        <f t="shared" si="11"/>
        <v>7758115.2000000002</v>
      </c>
      <c r="H28" s="73">
        <f>H6*101%</f>
        <v>8354558.4000000004</v>
      </c>
      <c r="I28" s="73">
        <f t="shared" ref="I28:K28" si="12">I6*101%</f>
        <v>8794272</v>
      </c>
      <c r="J28" s="73">
        <f t="shared" si="12"/>
        <v>8794272</v>
      </c>
      <c r="K28" s="73">
        <f t="shared" si="12"/>
        <v>8794272</v>
      </c>
    </row>
    <row r="29" spans="2:11" x14ac:dyDescent="0.6">
      <c r="B29" s="9" t="s">
        <v>251</v>
      </c>
      <c r="C29" s="73">
        <f>C26+C27-C28</f>
        <v>60950.400000000373</v>
      </c>
      <c r="D29" s="73">
        <f t="shared" ref="D29:K29" si="13">D26+D27-D28</f>
        <v>126254.40000000037</v>
      </c>
      <c r="E29" s="73">
        <f t="shared" si="13"/>
        <v>195912</v>
      </c>
      <c r="F29" s="73">
        <f t="shared" si="13"/>
        <v>269923.20000000019</v>
      </c>
      <c r="G29" s="73">
        <f t="shared" si="13"/>
        <v>348288</v>
      </c>
      <c r="H29" s="73">
        <f t="shared" si="13"/>
        <v>265569.59999999963</v>
      </c>
      <c r="I29" s="73">
        <f t="shared" si="13"/>
        <v>178497.59999999963</v>
      </c>
      <c r="J29" s="73">
        <f t="shared" si="13"/>
        <v>91425.599999999627</v>
      </c>
      <c r="K29" s="73">
        <f t="shared" si="13"/>
        <v>4353.5999999996275</v>
      </c>
    </row>
    <row r="31" spans="2:11" ht="36" customHeight="1" x14ac:dyDescent="0.6">
      <c r="B31" s="129" t="s">
        <v>252</v>
      </c>
      <c r="C31" s="129"/>
      <c r="D31" s="129"/>
      <c r="E31" s="129"/>
      <c r="F31" s="129"/>
      <c r="G31" s="129"/>
      <c r="H31" s="129"/>
      <c r="I31" s="129"/>
      <c r="J31" s="129"/>
      <c r="K31" s="129"/>
    </row>
    <row r="32" spans="2:11" ht="28.5" customHeight="1" x14ac:dyDescent="0.6">
      <c r="B32" s="129" t="s">
        <v>253</v>
      </c>
      <c r="C32" s="129"/>
      <c r="D32" s="129"/>
      <c r="E32" s="129"/>
      <c r="F32" s="129"/>
      <c r="G32" s="129"/>
      <c r="H32" s="129"/>
      <c r="I32" s="129"/>
      <c r="J32" s="129"/>
      <c r="K32" s="129"/>
    </row>
    <row r="33" spans="2:2" x14ac:dyDescent="0.6">
      <c r="B33" s="8" t="s">
        <v>294</v>
      </c>
    </row>
    <row r="34" spans="2:2" x14ac:dyDescent="0.6">
      <c r="B34" s="8" t="s">
        <v>265</v>
      </c>
    </row>
    <row r="35" spans="2:2" x14ac:dyDescent="0.6">
      <c r="B35" s="8" t="s">
        <v>268</v>
      </c>
    </row>
  </sheetData>
  <mergeCells count="7">
    <mergeCell ref="A2:A3"/>
    <mergeCell ref="C2:K2"/>
    <mergeCell ref="C24:K24"/>
    <mergeCell ref="B31:K31"/>
    <mergeCell ref="B32:K32"/>
    <mergeCell ref="B2:B3"/>
    <mergeCell ref="B24:B25"/>
  </mergeCells>
  <pageMargins left="0.7" right="0.7" top="0.75" bottom="0.75" header="0.3" footer="0.3"/>
  <pageSetup scale="5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4.5" x14ac:dyDescent="0.35"/>
  <cols>
    <col min="1" max="1" width="16.453125" bestFit="1" customWidth="1"/>
  </cols>
  <sheetData>
    <row r="2" spans="1:10" x14ac:dyDescent="0.35">
      <c r="B2" t="s">
        <v>38</v>
      </c>
      <c r="C2" t="s">
        <v>39</v>
      </c>
      <c r="D2" t="s">
        <v>40</v>
      </c>
      <c r="E2" t="s">
        <v>41</v>
      </c>
      <c r="F2" t="s">
        <v>42</v>
      </c>
      <c r="G2" t="s">
        <v>43</v>
      </c>
      <c r="H2" t="s">
        <v>44</v>
      </c>
      <c r="I2" t="s">
        <v>45</v>
      </c>
      <c r="J2" t="s">
        <v>46</v>
      </c>
    </row>
    <row r="3" spans="1:10" ht="17" x14ac:dyDescent="0.6">
      <c r="A3" t="s">
        <v>178</v>
      </c>
      <c r="B3" s="34" t="e">
        <f>'Ann 4'!#REF!/100000</f>
        <v>#REF!</v>
      </c>
      <c r="C3" s="34" t="e">
        <f>'Ann 4'!#REF!/100000</f>
        <v>#REF!</v>
      </c>
      <c r="D3" s="34" t="e">
        <f>'Ann 4'!#REF!/100000</f>
        <v>#REF!</v>
      </c>
      <c r="E3" s="34" t="e">
        <f>'Ann 4'!#REF!/100000</f>
        <v>#REF!</v>
      </c>
      <c r="F3" s="34" t="e">
        <f>'Ann 4'!#REF!/100000</f>
        <v>#REF!</v>
      </c>
      <c r="G3" s="1" t="e">
        <f>'Ann 4'!#REF!/100000</f>
        <v>#REF!</v>
      </c>
      <c r="H3" s="1" t="e">
        <f>'Ann 4'!#REF!/100000</f>
        <v>#REF!</v>
      </c>
      <c r="I3" s="1" t="e">
        <f>'Ann 4'!#REF!/100000</f>
        <v>#REF!</v>
      </c>
      <c r="J3" s="1" t="e">
        <f>'Ann 4'!#REF!/100000</f>
        <v>#REF!</v>
      </c>
    </row>
    <row r="4" spans="1:10" ht="17" x14ac:dyDescent="0.6">
      <c r="A4" t="s">
        <v>179</v>
      </c>
      <c r="B4" s="34" t="e">
        <f>'Ann 4'!#REF!/100000</f>
        <v>#REF!</v>
      </c>
      <c r="C4" s="34" t="e">
        <f>'Ann 4'!#REF!/100000</f>
        <v>#REF!</v>
      </c>
      <c r="D4" s="34" t="e">
        <f>'Ann 4'!#REF!/100000</f>
        <v>#REF!</v>
      </c>
      <c r="E4" s="34" t="e">
        <f>'Ann 4'!#REF!/100000</f>
        <v>#REF!</v>
      </c>
      <c r="F4" s="34" t="e">
        <f>'Ann 4'!#REF!/100000</f>
        <v>#REF!</v>
      </c>
      <c r="G4" s="1" t="e">
        <f>'Ann 4'!#REF!/100000</f>
        <v>#REF!</v>
      </c>
      <c r="H4" s="1" t="e">
        <f>'Ann 4'!#REF!/100000</f>
        <v>#REF!</v>
      </c>
      <c r="I4" s="1" t="e">
        <f>'Ann 4'!#REF!/100000</f>
        <v>#REF!</v>
      </c>
      <c r="J4" s="1" t="e">
        <f>'Ann 4'!#REF!/100000</f>
        <v>#REF!</v>
      </c>
    </row>
    <row r="5" spans="1:10" ht="17" x14ac:dyDescent="0.6">
      <c r="A5" t="s">
        <v>180</v>
      </c>
      <c r="B5" s="34" t="e">
        <f>B3-B4</f>
        <v>#REF!</v>
      </c>
      <c r="C5" s="34" t="e">
        <f t="shared" ref="C5:J5" si="0">C3-C4</f>
        <v>#REF!</v>
      </c>
      <c r="D5" s="34" t="e">
        <f t="shared" si="0"/>
        <v>#REF!</v>
      </c>
      <c r="E5" s="34" t="e">
        <f t="shared" si="0"/>
        <v>#REF!</v>
      </c>
      <c r="F5" s="34" t="e">
        <f t="shared" si="0"/>
        <v>#REF!</v>
      </c>
      <c r="G5" s="1" t="e">
        <f t="shared" si="0"/>
        <v>#REF!</v>
      </c>
      <c r="H5" s="1" t="e">
        <f t="shared" si="0"/>
        <v>#REF!</v>
      </c>
      <c r="I5" s="1" t="e">
        <f t="shared" si="0"/>
        <v>#REF!</v>
      </c>
      <c r="J5" s="1" t="e">
        <f t="shared" si="0"/>
        <v>#REF!</v>
      </c>
    </row>
    <row r="6" spans="1:10" ht="17" x14ac:dyDescent="0.6">
      <c r="A6" t="s">
        <v>181</v>
      </c>
      <c r="B6" s="34" t="e">
        <f>B5</f>
        <v>#REF!</v>
      </c>
      <c r="C6" s="34" t="e">
        <f t="shared" ref="C6:J6" si="1">C5</f>
        <v>#REF!</v>
      </c>
      <c r="D6" s="34" t="e">
        <f t="shared" si="1"/>
        <v>#REF!</v>
      </c>
      <c r="E6" s="34" t="e">
        <f t="shared" si="1"/>
        <v>#REF!</v>
      </c>
      <c r="F6" s="34" t="e">
        <f t="shared" si="1"/>
        <v>#REF!</v>
      </c>
      <c r="G6" s="1" t="e">
        <f t="shared" si="1"/>
        <v>#REF!</v>
      </c>
      <c r="H6" s="1" t="e">
        <f t="shared" si="1"/>
        <v>#REF!</v>
      </c>
      <c r="I6" s="1" t="e">
        <f t="shared" si="1"/>
        <v>#REF!</v>
      </c>
      <c r="J6" s="1" t="e">
        <f t="shared" si="1"/>
        <v>#REF!</v>
      </c>
    </row>
    <row r="7" spans="1:10" ht="17" x14ac:dyDescent="0.6">
      <c r="A7" t="s">
        <v>182</v>
      </c>
      <c r="B7" s="93">
        <f>'Ann 4'!C15/100000</f>
        <v>2.707221153846155</v>
      </c>
      <c r="C7" s="93">
        <f>'Ann 4'!D15/100000</f>
        <v>5.7994711538461576</v>
      </c>
      <c r="D7" s="93">
        <f>'Ann 4'!E15/100000</f>
        <v>8.9401033653846191</v>
      </c>
      <c r="E7" s="93">
        <f>'Ann 4'!F15/100000</f>
        <v>12.088671514423085</v>
      </c>
      <c r="F7" s="93">
        <f>'Ann 4'!G15/100000</f>
        <v>15.28523521033655</v>
      </c>
      <c r="G7" s="5">
        <f>'Ann 4'!H15/100000</f>
        <v>18.567970121093765</v>
      </c>
      <c r="H7" s="5">
        <f>'Ann 4'!I15/100000</f>
        <v>21.973863064468173</v>
      </c>
      <c r="I7" s="5">
        <f>'Ann 4'!J15/100000</f>
        <v>25.373017162490253</v>
      </c>
      <c r="J7" s="5">
        <f>'Ann 4'!K15/100000</f>
        <v>28.691003713116725</v>
      </c>
    </row>
    <row r="8" spans="1:10" ht="17" x14ac:dyDescent="0.6">
      <c r="A8" t="s">
        <v>183</v>
      </c>
      <c r="B8" s="93">
        <f>'Ann 4'!C17/100000</f>
        <v>1.8950548076923086</v>
      </c>
      <c r="C8" s="93">
        <f>'Ann 4'!D17/100000</f>
        <v>4.0596298076923096</v>
      </c>
      <c r="D8" s="93">
        <f>'Ann 4'!E17/100000</f>
        <v>6.2580723557692348</v>
      </c>
      <c r="E8" s="93">
        <f>'Ann 4'!F17/100000</f>
        <v>8.4620700600961598</v>
      </c>
      <c r="F8" s="93">
        <f>'Ann 4'!G17/100000</f>
        <v>10.699664647235585</v>
      </c>
      <c r="G8" s="5">
        <f>'Ann 4'!H17/100000</f>
        <v>12.997579084765636</v>
      </c>
      <c r="H8" s="5">
        <f>'Ann 4'!I17/100000</f>
        <v>15.381704145127721</v>
      </c>
      <c r="I8" s="5">
        <f>'Ann 4'!J17/100000</f>
        <v>17.76111201374318</v>
      </c>
      <c r="J8" s="5">
        <f>'Ann 4'!K17/100000</f>
        <v>20.083702599181706</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8"/>
  <sheetViews>
    <sheetView workbookViewId="0">
      <selection activeCell="B7" sqref="B7"/>
    </sheetView>
  </sheetViews>
  <sheetFormatPr defaultRowHeight="17" x14ac:dyDescent="0.6"/>
  <cols>
    <col min="1" max="1" width="8.7265625" style="8"/>
    <col min="2" max="2" width="84" style="8" bestFit="1" customWidth="1"/>
    <col min="3" max="3" width="12.36328125" style="8" bestFit="1" customWidth="1"/>
    <col min="4" max="12" width="12.54296875" style="8" bestFit="1" customWidth="1"/>
    <col min="13" max="16384" width="8.7265625" style="8"/>
  </cols>
  <sheetData>
    <row r="1" spans="1:12" x14ac:dyDescent="0.6">
      <c r="A1" s="7" t="s">
        <v>203</v>
      </c>
      <c r="B1" s="7" t="s">
        <v>204</v>
      </c>
    </row>
    <row r="2" spans="1:12" x14ac:dyDescent="0.6">
      <c r="A2" s="8">
        <v>1</v>
      </c>
      <c r="B2" s="8" t="s">
        <v>293</v>
      </c>
    </row>
    <row r="3" spans="1:12" x14ac:dyDescent="0.6">
      <c r="A3" s="8">
        <v>2</v>
      </c>
      <c r="B3" s="8" t="s">
        <v>205</v>
      </c>
    </row>
    <row r="4" spans="1:12" x14ac:dyDescent="0.6">
      <c r="C4" s="8" t="s">
        <v>160</v>
      </c>
      <c r="D4" s="8">
        <v>70000</v>
      </c>
      <c r="E4" s="8">
        <f>D4*1.05</f>
        <v>73500</v>
      </c>
      <c r="F4" s="8">
        <f t="shared" ref="F4:J4" si="0">E4*1.05</f>
        <v>77175</v>
      </c>
      <c r="G4" s="8">
        <f t="shared" si="0"/>
        <v>81033.75</v>
      </c>
      <c r="H4" s="8">
        <f t="shared" si="0"/>
        <v>85085.4375</v>
      </c>
      <c r="I4" s="8">
        <f t="shared" si="0"/>
        <v>89339.709375000006</v>
      </c>
      <c r="J4" s="8">
        <f t="shared" si="0"/>
        <v>93806.69484375001</v>
      </c>
      <c r="K4" s="8">
        <f>J4</f>
        <v>93806.69484375001</v>
      </c>
      <c r="L4" s="8">
        <f>K4</f>
        <v>93806.69484375001</v>
      </c>
    </row>
    <row r="5" spans="1:12" x14ac:dyDescent="0.6">
      <c r="C5" s="8" t="s">
        <v>70</v>
      </c>
      <c r="D5" s="8">
        <f>D4*14</f>
        <v>980000</v>
      </c>
      <c r="E5" s="8">
        <f t="shared" ref="E5:L5" si="1">E4*14</f>
        <v>1029000</v>
      </c>
      <c r="F5" s="8">
        <f t="shared" si="1"/>
        <v>1080450</v>
      </c>
      <c r="G5" s="8">
        <f t="shared" si="1"/>
        <v>1134472.5</v>
      </c>
      <c r="H5" s="8">
        <f t="shared" si="1"/>
        <v>1191196.125</v>
      </c>
      <c r="I5" s="8">
        <f t="shared" si="1"/>
        <v>1250755.9312500001</v>
      </c>
      <c r="J5" s="8">
        <f t="shared" si="1"/>
        <v>1313293.7278125002</v>
      </c>
      <c r="K5" s="8">
        <f t="shared" si="1"/>
        <v>1313293.7278125002</v>
      </c>
      <c r="L5" s="8">
        <f t="shared" si="1"/>
        <v>1313293.7278125002</v>
      </c>
    </row>
    <row r="6" spans="1:12" x14ac:dyDescent="0.6">
      <c r="A6" s="8">
        <v>3</v>
      </c>
      <c r="B6" s="8" t="s">
        <v>291</v>
      </c>
    </row>
    <row r="7" spans="1:12" x14ac:dyDescent="0.6">
      <c r="A7" s="8">
        <v>4</v>
      </c>
      <c r="B7" s="8" t="s">
        <v>288</v>
      </c>
    </row>
    <row r="8" spans="1:12" x14ac:dyDescent="0.6">
      <c r="A8" s="8">
        <v>5</v>
      </c>
      <c r="B8" s="8" t="s">
        <v>242</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131</v>
      </c>
    </row>
    <row r="2" spans="1:11" x14ac:dyDescent="0.35">
      <c r="C2" t="s">
        <v>38</v>
      </c>
      <c r="D2" t="s">
        <v>39</v>
      </c>
      <c r="E2" t="s">
        <v>40</v>
      </c>
      <c r="F2" t="s">
        <v>41</v>
      </c>
      <c r="G2" t="s">
        <v>42</v>
      </c>
      <c r="H2" t="s">
        <v>43</v>
      </c>
      <c r="I2" t="s">
        <v>44</v>
      </c>
      <c r="J2" t="s">
        <v>45</v>
      </c>
      <c r="K2" t="s">
        <v>46</v>
      </c>
    </row>
    <row r="3" spans="1:11" x14ac:dyDescent="0.35">
      <c r="A3" t="s">
        <v>132</v>
      </c>
      <c r="C3" t="e">
        <f>'Ann 4'!#REF!/300*270</f>
        <v>#REF!</v>
      </c>
      <c r="D3" t="e">
        <f>'Ann 4'!#REF!/300*270</f>
        <v>#REF!</v>
      </c>
      <c r="E3" t="e">
        <f>'Ann 4'!#REF!/300*270</f>
        <v>#REF!</v>
      </c>
      <c r="F3" t="e">
        <f>'Ann 4'!#REF!/300*270</f>
        <v>#REF!</v>
      </c>
      <c r="G3" t="e">
        <f>'Ann 4'!#REF!/300*270</f>
        <v>#REF!</v>
      </c>
      <c r="H3" t="e">
        <f>'Ann 4'!#REF!/300*270</f>
        <v>#REF!</v>
      </c>
      <c r="I3" t="e">
        <f>'Ann 4'!#REF!/300*270</f>
        <v>#REF!</v>
      </c>
      <c r="J3" t="e">
        <f>'Ann 4'!#REF!/300*270</f>
        <v>#REF!</v>
      </c>
      <c r="K3" t="e">
        <f>'Ann 4'!#REF!/300*270</f>
        <v>#REF!</v>
      </c>
    </row>
    <row r="4" spans="1:11" x14ac:dyDescent="0.35">
      <c r="A4" t="s">
        <v>133</v>
      </c>
      <c r="C4">
        <v>5000000</v>
      </c>
    </row>
    <row r="5" spans="1:11" x14ac:dyDescent="0.35">
      <c r="A5" t="s">
        <v>134</v>
      </c>
      <c r="C5">
        <v>21492978</v>
      </c>
    </row>
    <row r="7" spans="1:11" x14ac:dyDescent="0.35">
      <c r="A7" t="s">
        <v>135</v>
      </c>
      <c r="C7">
        <f>'Ann 3'!E12</f>
        <v>5475000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sheetPr>
    <pageSetUpPr fitToPage="1"/>
  </sheetPr>
  <dimension ref="A1:D44"/>
  <sheetViews>
    <sheetView topLeftCell="A29" workbookViewId="0">
      <selection activeCell="C26" sqref="C26"/>
    </sheetView>
  </sheetViews>
  <sheetFormatPr defaultRowHeight="17" x14ac:dyDescent="0.6"/>
  <cols>
    <col min="1" max="1" width="8.7265625" style="8"/>
    <col min="2" max="2" width="44.90625" style="8" customWidth="1"/>
    <col min="3" max="3" width="13.26953125" style="8" customWidth="1"/>
    <col min="4" max="16384" width="8.7265625" style="8"/>
  </cols>
  <sheetData>
    <row r="1" spans="1:3" x14ac:dyDescent="0.6">
      <c r="A1" s="7" t="s">
        <v>206</v>
      </c>
    </row>
    <row r="3" spans="1:3" x14ac:dyDescent="0.6">
      <c r="A3" s="7" t="s">
        <v>0</v>
      </c>
    </row>
    <row r="5" spans="1:3" x14ac:dyDescent="0.6">
      <c r="A5" s="26" t="s">
        <v>1</v>
      </c>
      <c r="B5" s="27"/>
      <c r="C5" s="28"/>
    </row>
    <row r="6" spans="1:3" ht="34" x14ac:dyDescent="0.6">
      <c r="A6" s="29" t="s">
        <v>2</v>
      </c>
      <c r="B6" s="29" t="s">
        <v>3</v>
      </c>
      <c r="C6" s="30" t="s">
        <v>4</v>
      </c>
    </row>
    <row r="7" spans="1:3" x14ac:dyDescent="0.6">
      <c r="A7" s="13">
        <v>1</v>
      </c>
      <c r="B7" s="14" t="s">
        <v>6</v>
      </c>
      <c r="C7" s="15"/>
    </row>
    <row r="8" spans="1:3" x14ac:dyDescent="0.6">
      <c r="A8" s="13" t="s">
        <v>5</v>
      </c>
      <c r="B8" s="14" t="s">
        <v>7</v>
      </c>
      <c r="C8" s="16">
        <v>0</v>
      </c>
    </row>
    <row r="9" spans="1:3" x14ac:dyDescent="0.6">
      <c r="A9" s="13"/>
      <c r="B9" s="14" t="s">
        <v>8</v>
      </c>
      <c r="C9" s="16">
        <f>SUM(C8)</f>
        <v>0</v>
      </c>
    </row>
    <row r="10" spans="1:3" x14ac:dyDescent="0.6">
      <c r="A10" s="13"/>
      <c r="B10" s="14"/>
      <c r="C10" s="15"/>
    </row>
    <row r="11" spans="1:3" x14ac:dyDescent="0.6">
      <c r="A11" s="13">
        <v>2</v>
      </c>
      <c r="B11" s="14" t="s">
        <v>155</v>
      </c>
      <c r="C11" s="16">
        <v>0</v>
      </c>
    </row>
    <row r="12" spans="1:3" x14ac:dyDescent="0.6">
      <c r="A12" s="13" t="s">
        <v>5</v>
      </c>
      <c r="B12" s="14" t="s">
        <v>8</v>
      </c>
      <c r="C12" s="16">
        <f>C11</f>
        <v>0</v>
      </c>
    </row>
    <row r="13" spans="1:3" x14ac:dyDescent="0.6">
      <c r="A13" s="13"/>
      <c r="B13" s="14"/>
      <c r="C13" s="15"/>
    </row>
    <row r="14" spans="1:3" x14ac:dyDescent="0.6">
      <c r="A14" s="13">
        <v>3</v>
      </c>
      <c r="B14" s="14" t="s">
        <v>9</v>
      </c>
      <c r="C14" s="15"/>
    </row>
    <row r="15" spans="1:3" x14ac:dyDescent="0.6">
      <c r="A15" s="13" t="s">
        <v>5</v>
      </c>
      <c r="B15" s="14" t="s">
        <v>9</v>
      </c>
      <c r="C15" s="17">
        <v>0</v>
      </c>
    </row>
    <row r="16" spans="1:3" x14ac:dyDescent="0.6">
      <c r="A16" s="13"/>
      <c r="B16" s="14" t="s">
        <v>8</v>
      </c>
      <c r="C16" s="17">
        <f>C15</f>
        <v>0</v>
      </c>
    </row>
    <row r="17" spans="1:4" x14ac:dyDescent="0.6">
      <c r="A17" s="13"/>
      <c r="B17" s="14"/>
      <c r="C17" s="15"/>
    </row>
    <row r="18" spans="1:4" x14ac:dyDescent="0.6">
      <c r="A18" s="13">
        <v>4</v>
      </c>
      <c r="B18" s="14" t="s">
        <v>10</v>
      </c>
      <c r="C18" s="15"/>
    </row>
    <row r="19" spans="1:4" x14ac:dyDescent="0.6">
      <c r="A19" s="13" t="s">
        <v>5</v>
      </c>
      <c r="B19" s="14" t="s">
        <v>11</v>
      </c>
      <c r="C19" s="17">
        <f>'Ann 3'!E10/100000</f>
        <v>54.75</v>
      </c>
    </row>
    <row r="20" spans="1:4" x14ac:dyDescent="0.6">
      <c r="A20" s="13"/>
      <c r="B20" s="14" t="s">
        <v>8</v>
      </c>
      <c r="C20" s="18">
        <f>C19</f>
        <v>54.75</v>
      </c>
    </row>
    <row r="21" spans="1:4" x14ac:dyDescent="0.6">
      <c r="A21" s="13"/>
      <c r="B21" s="14"/>
      <c r="C21" s="15"/>
    </row>
    <row r="22" spans="1:4" x14ac:dyDescent="0.6">
      <c r="A22" s="13">
        <v>5</v>
      </c>
      <c r="B22" s="14" t="s">
        <v>12</v>
      </c>
      <c r="C22" s="15"/>
    </row>
    <row r="23" spans="1:4" x14ac:dyDescent="0.6">
      <c r="A23" s="13" t="s">
        <v>5</v>
      </c>
      <c r="B23" s="14" t="s">
        <v>13</v>
      </c>
      <c r="C23" s="16">
        <v>0</v>
      </c>
    </row>
    <row r="24" spans="1:4" x14ac:dyDescent="0.6">
      <c r="A24" s="13"/>
      <c r="B24" s="14"/>
      <c r="C24" s="16"/>
    </row>
    <row r="25" spans="1:4" x14ac:dyDescent="0.6">
      <c r="A25" s="13">
        <v>6</v>
      </c>
      <c r="B25" s="14" t="s">
        <v>14</v>
      </c>
      <c r="C25" s="16">
        <v>12.25</v>
      </c>
      <c r="D25" s="113"/>
    </row>
    <row r="26" spans="1:4" x14ac:dyDescent="0.6">
      <c r="A26" s="13"/>
      <c r="B26" s="14"/>
      <c r="C26" s="16"/>
    </row>
    <row r="27" spans="1:4" x14ac:dyDescent="0.6">
      <c r="A27" s="13">
        <v>7</v>
      </c>
      <c r="B27" s="14" t="s">
        <v>15</v>
      </c>
      <c r="C27" s="16">
        <v>0</v>
      </c>
    </row>
    <row r="28" spans="1:4" x14ac:dyDescent="0.6">
      <c r="A28" s="13" t="s">
        <v>5</v>
      </c>
      <c r="B28" s="14" t="s">
        <v>16</v>
      </c>
      <c r="C28" s="16">
        <v>0</v>
      </c>
    </row>
    <row r="29" spans="1:4" x14ac:dyDescent="0.6">
      <c r="A29" s="13"/>
      <c r="B29" s="14" t="s">
        <v>8</v>
      </c>
      <c r="C29" s="16"/>
    </row>
    <row r="30" spans="1:4" x14ac:dyDescent="0.6">
      <c r="A30" s="13"/>
      <c r="B30" s="14"/>
      <c r="C30" s="16"/>
    </row>
    <row r="31" spans="1:4" x14ac:dyDescent="0.6">
      <c r="A31" s="13">
        <v>8</v>
      </c>
      <c r="B31" s="14" t="s">
        <v>17</v>
      </c>
      <c r="C31" s="15"/>
    </row>
    <row r="32" spans="1:4" ht="34" x14ac:dyDescent="0.6">
      <c r="A32" s="13"/>
      <c r="B32" s="19" t="s">
        <v>18</v>
      </c>
      <c r="C32" s="15"/>
    </row>
    <row r="33" spans="1:4" x14ac:dyDescent="0.6">
      <c r="A33" s="13" t="s">
        <v>5</v>
      </c>
      <c r="B33" s="14" t="s">
        <v>19</v>
      </c>
      <c r="C33" s="16"/>
    </row>
    <row r="34" spans="1:4" x14ac:dyDescent="0.6">
      <c r="A34" s="13" t="s">
        <v>20</v>
      </c>
      <c r="B34" s="14" t="s">
        <v>21</v>
      </c>
      <c r="C34" s="16">
        <v>0</v>
      </c>
    </row>
    <row r="35" spans="1:4" x14ac:dyDescent="0.6">
      <c r="A35" s="13"/>
      <c r="B35" s="14" t="s">
        <v>8</v>
      </c>
      <c r="C35" s="16">
        <f>SUM(C33:C34)</f>
        <v>0</v>
      </c>
    </row>
    <row r="36" spans="1:4" x14ac:dyDescent="0.6">
      <c r="A36" s="13"/>
      <c r="B36" s="14"/>
      <c r="C36" s="16"/>
    </row>
    <row r="37" spans="1:4" x14ac:dyDescent="0.6">
      <c r="A37" s="13">
        <v>9</v>
      </c>
      <c r="B37" s="14" t="s">
        <v>235</v>
      </c>
      <c r="C37" s="16">
        <v>0</v>
      </c>
    </row>
    <row r="38" spans="1:4" x14ac:dyDescent="0.6">
      <c r="A38" s="13"/>
      <c r="B38" s="14"/>
      <c r="C38" s="16"/>
    </row>
    <row r="39" spans="1:4" x14ac:dyDescent="0.6">
      <c r="A39" s="13">
        <v>10</v>
      </c>
      <c r="B39" s="14" t="s">
        <v>62</v>
      </c>
      <c r="C39" s="20">
        <v>0</v>
      </c>
      <c r="D39" s="21"/>
    </row>
    <row r="40" spans="1:4" x14ac:dyDescent="0.6">
      <c r="A40" s="13"/>
      <c r="B40" s="14"/>
      <c r="C40" s="15"/>
    </row>
    <row r="41" spans="1:4" x14ac:dyDescent="0.6">
      <c r="A41" s="22"/>
      <c r="B41" s="23" t="s">
        <v>22</v>
      </c>
      <c r="C41" s="24">
        <f>C35+C27+C25+C20+C16+C23+C37+C12+C9+C39</f>
        <v>67</v>
      </c>
    </row>
    <row r="42" spans="1:4" x14ac:dyDescent="0.6">
      <c r="A42" s="25"/>
    </row>
    <row r="43" spans="1:4" x14ac:dyDescent="0.6">
      <c r="A43" s="25"/>
    </row>
    <row r="44" spans="1:4" x14ac:dyDescent="0.6">
      <c r="A44" s="25"/>
    </row>
  </sheetData>
  <pageMargins left="0.7" right="0.7" top="0.75" bottom="0.75" header="0.3" footer="0.3"/>
  <pageSetup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8"/>
  <sheetViews>
    <sheetView workbookViewId="0">
      <selection activeCell="C8" sqref="C8"/>
    </sheetView>
  </sheetViews>
  <sheetFormatPr defaultRowHeight="17" x14ac:dyDescent="0.6"/>
  <cols>
    <col min="1" max="1" width="8.7265625" style="8"/>
    <col min="2" max="2" width="22.08984375" style="8" customWidth="1"/>
    <col min="3" max="3" width="18.81640625" style="8" bestFit="1" customWidth="1"/>
    <col min="4" max="16384" width="8.7265625" style="8"/>
  </cols>
  <sheetData>
    <row r="1" spans="1:4" x14ac:dyDescent="0.6">
      <c r="A1" s="7" t="s">
        <v>23</v>
      </c>
    </row>
    <row r="3" spans="1:4" s="7" customFormat="1" x14ac:dyDescent="0.6">
      <c r="A3" s="46" t="s">
        <v>24</v>
      </c>
      <c r="B3" s="47" t="s">
        <v>25</v>
      </c>
      <c r="C3" s="48" t="s">
        <v>4</v>
      </c>
    </row>
    <row r="4" spans="1:4" x14ac:dyDescent="0.6">
      <c r="A4" s="31">
        <v>1</v>
      </c>
      <c r="B4" s="8" t="s">
        <v>26</v>
      </c>
      <c r="C4" s="18">
        <f>C8*10%</f>
        <v>6.7</v>
      </c>
      <c r="D4" s="33"/>
    </row>
    <row r="5" spans="1:4" x14ac:dyDescent="0.6">
      <c r="A5" s="31">
        <v>2</v>
      </c>
      <c r="B5" s="8" t="s">
        <v>27</v>
      </c>
      <c r="C5" s="18">
        <v>0</v>
      </c>
      <c r="D5" s="33"/>
    </row>
    <row r="6" spans="1:4" x14ac:dyDescent="0.6">
      <c r="A6" s="31">
        <v>3</v>
      </c>
      <c r="B6" s="8" t="s">
        <v>28</v>
      </c>
      <c r="C6" s="16">
        <f>C8-C4-C7</f>
        <v>48.05</v>
      </c>
      <c r="D6" s="33"/>
    </row>
    <row r="7" spans="1:4" x14ac:dyDescent="0.6">
      <c r="A7" s="31">
        <v>4</v>
      </c>
      <c r="B7" s="8" t="s">
        <v>29</v>
      </c>
      <c r="C7" s="16">
        <f>'Ann 1'!C25</f>
        <v>12.25</v>
      </c>
      <c r="D7" s="33"/>
    </row>
    <row r="8" spans="1:4" s="7" customFormat="1" x14ac:dyDescent="0.6">
      <c r="A8" s="42"/>
      <c r="B8" s="43" t="s">
        <v>8</v>
      </c>
      <c r="C8" s="114">
        <f>'Ann 1'!C41</f>
        <v>67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sheetPr>
    <pageSetUpPr fitToPage="1"/>
  </sheetPr>
  <dimension ref="A1:E14"/>
  <sheetViews>
    <sheetView workbookViewId="0">
      <selection activeCell="E8" sqref="E8"/>
    </sheetView>
  </sheetViews>
  <sheetFormatPr defaultRowHeight="17" x14ac:dyDescent="0.6"/>
  <cols>
    <col min="1" max="1" width="2.81640625" style="8" bestFit="1" customWidth="1"/>
    <col min="2" max="2" width="36.36328125" style="8" customWidth="1"/>
    <col min="3" max="3" width="8.7265625" style="8"/>
    <col min="4" max="4" width="10.54296875" style="8" customWidth="1"/>
    <col min="5" max="5" width="12.1796875" style="8" bestFit="1" customWidth="1"/>
    <col min="6" max="6" width="8.7265625" style="8"/>
    <col min="7" max="7" width="9.1796875" style="8" bestFit="1" customWidth="1"/>
    <col min="8" max="16384" width="8.7265625" style="8"/>
  </cols>
  <sheetData>
    <row r="1" spans="1:5" x14ac:dyDescent="0.6">
      <c r="A1" s="7" t="s">
        <v>30</v>
      </c>
    </row>
    <row r="3" spans="1:5" x14ac:dyDescent="0.6">
      <c r="A3" s="46" t="s">
        <v>299</v>
      </c>
      <c r="B3" s="47"/>
      <c r="C3" s="47" t="s">
        <v>31</v>
      </c>
      <c r="D3" s="47"/>
      <c r="E3" s="48" t="s">
        <v>32</v>
      </c>
    </row>
    <row r="4" spans="1:5" x14ac:dyDescent="0.6">
      <c r="A4" s="37">
        <v>1</v>
      </c>
      <c r="B4" s="40" t="s">
        <v>296</v>
      </c>
      <c r="C4" s="38">
        <v>2</v>
      </c>
      <c r="D4" s="39"/>
      <c r="E4" s="115">
        <f>1200000*C4</f>
        <v>2400000</v>
      </c>
    </row>
    <row r="5" spans="1:5" x14ac:dyDescent="0.6">
      <c r="A5" s="31">
        <v>2</v>
      </c>
      <c r="B5" s="40" t="s">
        <v>297</v>
      </c>
      <c r="C5" s="40"/>
      <c r="D5" s="41"/>
      <c r="E5" s="116">
        <f>1000000</f>
        <v>1000000</v>
      </c>
    </row>
    <row r="6" spans="1:5" x14ac:dyDescent="0.6">
      <c r="A6" s="31">
        <v>3</v>
      </c>
      <c r="B6" s="40" t="s">
        <v>298</v>
      </c>
      <c r="C6" s="40">
        <v>1</v>
      </c>
      <c r="D6" s="41"/>
      <c r="E6" s="116">
        <v>1000000</v>
      </c>
    </row>
    <row r="7" spans="1:5" x14ac:dyDescent="0.6">
      <c r="A7" s="31">
        <v>4</v>
      </c>
      <c r="B7" s="40" t="s">
        <v>303</v>
      </c>
      <c r="C7" s="40"/>
      <c r="D7" s="41"/>
      <c r="E7" s="116">
        <v>675000</v>
      </c>
    </row>
    <row r="8" spans="1:5" x14ac:dyDescent="0.6">
      <c r="A8" s="31">
        <v>5</v>
      </c>
      <c r="B8" s="40" t="s">
        <v>304</v>
      </c>
      <c r="C8" s="40"/>
      <c r="D8" s="41"/>
      <c r="E8" s="116">
        <v>300000</v>
      </c>
    </row>
    <row r="9" spans="1:5" x14ac:dyDescent="0.6">
      <c r="A9" s="31">
        <v>6</v>
      </c>
      <c r="B9" s="40" t="s">
        <v>305</v>
      </c>
      <c r="C9" s="40"/>
      <c r="D9" s="41"/>
      <c r="E9" s="116">
        <v>100000</v>
      </c>
    </row>
    <row r="10" spans="1:5" s="7" customFormat="1" x14ac:dyDescent="0.6">
      <c r="A10" s="42" t="s">
        <v>33</v>
      </c>
      <c r="B10" s="43"/>
      <c r="C10" s="43"/>
      <c r="D10" s="43"/>
      <c r="E10" s="44">
        <f>SUM(E4:E9)</f>
        <v>5475000</v>
      </c>
    </row>
    <row r="11" spans="1:5" x14ac:dyDescent="0.6">
      <c r="A11" s="31"/>
      <c r="B11" s="32"/>
      <c r="C11" s="32"/>
      <c r="D11" s="32"/>
      <c r="E11" s="15"/>
    </row>
    <row r="12" spans="1:5" s="7" customFormat="1" x14ac:dyDescent="0.6">
      <c r="A12" s="42" t="s">
        <v>34</v>
      </c>
      <c r="B12" s="43"/>
      <c r="C12" s="43"/>
      <c r="D12" s="43"/>
      <c r="E12" s="44">
        <f>E10</f>
        <v>5475000</v>
      </c>
    </row>
    <row r="13" spans="1:5" x14ac:dyDescent="0.6">
      <c r="E13" s="21"/>
    </row>
    <row r="14" spans="1:5" x14ac:dyDescent="0.6">
      <c r="E14" s="45"/>
    </row>
  </sheetData>
  <pageMargins left="0.7" right="0.7" top="0.75" bottom="0.75" header="0.3" footer="0.3"/>
  <pageSetup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19"/>
  <sheetViews>
    <sheetView workbookViewId="0">
      <selection activeCell="C10" sqref="C10"/>
    </sheetView>
  </sheetViews>
  <sheetFormatPr defaultRowHeight="17" x14ac:dyDescent="0.6"/>
  <cols>
    <col min="1" max="1" width="8.7265625" style="8"/>
    <col min="2" max="2" width="55.7265625" style="8" bestFit="1" customWidth="1"/>
    <col min="3" max="11" width="15.6328125" style="8" bestFit="1" customWidth="1"/>
    <col min="12" max="16384" width="8.7265625" style="8"/>
  </cols>
  <sheetData>
    <row r="1" spans="1:11" x14ac:dyDescent="0.6">
      <c r="A1" s="7" t="s">
        <v>35</v>
      </c>
    </row>
    <row r="3" spans="1:11" x14ac:dyDescent="0.6">
      <c r="A3" s="124" t="s">
        <v>36</v>
      </c>
      <c r="B3" s="124" t="s">
        <v>37</v>
      </c>
      <c r="C3" s="123" t="s">
        <v>47</v>
      </c>
      <c r="D3" s="123"/>
      <c r="E3" s="123"/>
      <c r="F3" s="123"/>
      <c r="G3" s="123"/>
      <c r="H3" s="123"/>
      <c r="I3" s="123"/>
      <c r="J3" s="123"/>
      <c r="K3" s="123"/>
    </row>
    <row r="4" spans="1:11" x14ac:dyDescent="0.6">
      <c r="A4" s="125"/>
      <c r="B4" s="125"/>
      <c r="C4" s="52" t="s">
        <v>38</v>
      </c>
      <c r="D4" s="51" t="s">
        <v>39</v>
      </c>
      <c r="E4" s="51" t="s">
        <v>40</v>
      </c>
      <c r="F4" s="51" t="s">
        <v>41</v>
      </c>
      <c r="G4" s="51" t="s">
        <v>42</v>
      </c>
      <c r="H4" s="51" t="s">
        <v>43</v>
      </c>
      <c r="I4" s="51" t="s">
        <v>44</v>
      </c>
      <c r="J4" s="51" t="s">
        <v>45</v>
      </c>
      <c r="K4" s="51" t="s">
        <v>46</v>
      </c>
    </row>
    <row r="5" spans="1:11" x14ac:dyDescent="0.6">
      <c r="A5" s="9"/>
      <c r="B5" s="9" t="s">
        <v>48</v>
      </c>
      <c r="C5" s="9">
        <v>12</v>
      </c>
      <c r="D5" s="9">
        <v>12</v>
      </c>
      <c r="E5" s="9">
        <v>12</v>
      </c>
      <c r="F5" s="9">
        <v>12</v>
      </c>
      <c r="G5" s="9">
        <v>12</v>
      </c>
      <c r="H5" s="9">
        <v>12</v>
      </c>
      <c r="I5" s="9">
        <v>12</v>
      </c>
      <c r="J5" s="9">
        <v>12</v>
      </c>
      <c r="K5" s="9">
        <v>12</v>
      </c>
    </row>
    <row r="6" spans="1:11" x14ac:dyDescent="0.6">
      <c r="A6" s="9"/>
      <c r="B6" s="9"/>
      <c r="C6" s="9"/>
      <c r="D6" s="9"/>
      <c r="E6" s="9"/>
      <c r="F6" s="9"/>
      <c r="G6" s="9"/>
      <c r="H6" s="9"/>
      <c r="I6" s="9"/>
      <c r="J6" s="9"/>
      <c r="K6" s="9"/>
    </row>
    <row r="7" spans="1:11" x14ac:dyDescent="0.6">
      <c r="A7" s="9"/>
      <c r="B7" s="9" t="s">
        <v>300</v>
      </c>
      <c r="C7" s="117">
        <v>1500000</v>
      </c>
      <c r="D7" s="117">
        <f>C7*1.1</f>
        <v>1650000.0000000002</v>
      </c>
      <c r="E7" s="117">
        <f t="shared" ref="E7:K7" si="0">D7*1.1</f>
        <v>1815000.0000000005</v>
      </c>
      <c r="F7" s="117">
        <f t="shared" si="0"/>
        <v>1996500.0000000007</v>
      </c>
      <c r="G7" s="117">
        <f t="shared" si="0"/>
        <v>2196150.0000000009</v>
      </c>
      <c r="H7" s="117">
        <f t="shared" si="0"/>
        <v>2415765.0000000014</v>
      </c>
      <c r="I7" s="117">
        <f t="shared" si="0"/>
        <v>2657341.5000000019</v>
      </c>
      <c r="J7" s="117">
        <f t="shared" si="0"/>
        <v>2923075.6500000022</v>
      </c>
      <c r="K7" s="117">
        <f t="shared" si="0"/>
        <v>3215383.2150000026</v>
      </c>
    </row>
    <row r="8" spans="1:11" x14ac:dyDescent="0.6">
      <c r="A8" s="9"/>
      <c r="B8" s="9"/>
      <c r="C8" s="9"/>
      <c r="D8" s="9"/>
      <c r="E8" s="9"/>
      <c r="F8" s="9"/>
      <c r="G8" s="9"/>
      <c r="H8" s="9"/>
      <c r="I8" s="9"/>
      <c r="J8" s="9"/>
      <c r="K8" s="9"/>
    </row>
    <row r="9" spans="1:11" x14ac:dyDescent="0.6">
      <c r="A9" s="9"/>
      <c r="B9" s="9" t="s">
        <v>301</v>
      </c>
      <c r="C9" s="86">
        <f>('Ann 13'!E9+'Ann 13'!E10+'Ann 13'!E11+'Ann 13'!E12)*100000</f>
        <v>285527.88461538457</v>
      </c>
      <c r="D9" s="86">
        <f>('Ann 13'!E13+'Ann 13'!E14+'Ann 13'!E15+'Ann 13'!E16)*100000</f>
        <v>249490.38461538457</v>
      </c>
      <c r="E9" s="86">
        <f>('Ann 13'!E17+'Ann 13'!E18+'Ann 13'!E19+'Ann 13'!E20)*100000</f>
        <v>205136.53846153841</v>
      </c>
      <c r="F9" s="86">
        <f>SUM('Ann 13'!E21:E24)*100000</f>
        <v>160782.69230769222</v>
      </c>
      <c r="G9" s="86">
        <f>SUM('Ann 13'!E25:E28)*100000</f>
        <v>116428.84615384604</v>
      </c>
      <c r="H9" s="86">
        <f>SUM('Ann 13'!E29:E32)*100000</f>
        <v>72074.999999999884</v>
      </c>
      <c r="I9" s="86">
        <f>SUM('Ann 13'!E33:E36)*100000</f>
        <v>27721.153846153746</v>
      </c>
      <c r="J9" s="86">
        <v>0</v>
      </c>
      <c r="K9" s="86">
        <v>0</v>
      </c>
    </row>
    <row r="10" spans="1:11" x14ac:dyDescent="0.6">
      <c r="A10" s="9"/>
      <c r="B10" s="9" t="s">
        <v>302</v>
      </c>
      <c r="C10" s="84">
        <f>'Ann 2'!$C$7*100000*10%</f>
        <v>122500</v>
      </c>
      <c r="D10" s="84">
        <f>'Ann 2'!$C$7*100000*10%</f>
        <v>122500</v>
      </c>
      <c r="E10" s="84">
        <f>'Ann 2'!$C$7*100000*10%</f>
        <v>122500</v>
      </c>
      <c r="F10" s="84">
        <f>'Ann 2'!$C$7*100000*10%</f>
        <v>122500</v>
      </c>
      <c r="G10" s="84">
        <f>'Ann 2'!$C$7*100000*10%</f>
        <v>122500</v>
      </c>
      <c r="H10" s="84">
        <f>'Ann 2'!$C$7*100000*10%</f>
        <v>122500</v>
      </c>
      <c r="I10" s="84">
        <f>'Ann 2'!$C$7*100000*10%</f>
        <v>122500</v>
      </c>
      <c r="J10" s="84">
        <f>'Ann 2'!$C$7*100000*10%</f>
        <v>122500</v>
      </c>
      <c r="K10" s="84">
        <f>'Ann 2'!$C$7*100000*10%</f>
        <v>122500</v>
      </c>
    </row>
    <row r="11" spans="1:11" x14ac:dyDescent="0.6">
      <c r="A11" s="9"/>
      <c r="B11" s="9"/>
      <c r="C11" s="9"/>
      <c r="D11" s="9"/>
      <c r="E11" s="9"/>
      <c r="F11" s="9"/>
      <c r="G11" s="9"/>
      <c r="H11" s="9"/>
      <c r="I11" s="9"/>
      <c r="J11" s="9"/>
      <c r="K11" s="9"/>
    </row>
    <row r="12" spans="1:11" x14ac:dyDescent="0.6">
      <c r="A12" s="9"/>
      <c r="B12" s="9" t="s">
        <v>93</v>
      </c>
      <c r="C12" s="49">
        <f>C7-C9-C10</f>
        <v>1091972.1153846155</v>
      </c>
      <c r="D12" s="49">
        <f t="shared" ref="D12:K12" si="1">D7-D9-D10</f>
        <v>1278009.6153846157</v>
      </c>
      <c r="E12" s="49">
        <f t="shared" si="1"/>
        <v>1487363.461538462</v>
      </c>
      <c r="F12" s="49">
        <f t="shared" si="1"/>
        <v>1713217.3076923084</v>
      </c>
      <c r="G12" s="49">
        <f t="shared" si="1"/>
        <v>1957221.1538461549</v>
      </c>
      <c r="H12" s="49">
        <f t="shared" si="1"/>
        <v>2221190.0000000014</v>
      </c>
      <c r="I12" s="49">
        <f t="shared" si="1"/>
        <v>2507120.3461538483</v>
      </c>
      <c r="J12" s="49">
        <f t="shared" si="1"/>
        <v>2800575.6500000022</v>
      </c>
      <c r="K12" s="49">
        <f t="shared" si="1"/>
        <v>3092883.2150000026</v>
      </c>
    </row>
    <row r="13" spans="1:11" x14ac:dyDescent="0.6">
      <c r="A13" s="9"/>
      <c r="B13" s="9" t="s">
        <v>162</v>
      </c>
      <c r="C13" s="49">
        <v>0</v>
      </c>
      <c r="D13" s="49">
        <v>0</v>
      </c>
      <c r="E13" s="49">
        <v>0</v>
      </c>
      <c r="F13" s="49">
        <v>0</v>
      </c>
      <c r="G13" s="49">
        <v>0</v>
      </c>
      <c r="H13" s="49">
        <v>0</v>
      </c>
      <c r="I13" s="49">
        <v>0</v>
      </c>
      <c r="J13" s="49">
        <v>0</v>
      </c>
      <c r="K13" s="49">
        <v>0</v>
      </c>
    </row>
    <row r="14" spans="1:11" x14ac:dyDescent="0.6">
      <c r="A14" s="9"/>
      <c r="B14" s="50" t="s">
        <v>94</v>
      </c>
      <c r="C14" s="49">
        <f>'Ann 9'!F12</f>
        <v>821250</v>
      </c>
      <c r="D14" s="49">
        <f>'Ann 9'!F13</f>
        <v>698062.5</v>
      </c>
      <c r="E14" s="49">
        <f>'Ann 9'!F14</f>
        <v>593353.125</v>
      </c>
      <c r="F14" s="49">
        <f>'Ann 9'!F15</f>
        <v>504350.15625</v>
      </c>
      <c r="G14" s="49">
        <f>'Ann 9'!F16</f>
        <v>428697.6328125</v>
      </c>
      <c r="H14" s="49">
        <f>'Ann 9'!F17</f>
        <v>364392.98789062497</v>
      </c>
      <c r="I14" s="49">
        <f>'Ann 9'!F18</f>
        <v>309734.03970703128</v>
      </c>
      <c r="J14" s="49">
        <f>'Ann 9'!F19</f>
        <v>263273.93375097658</v>
      </c>
      <c r="K14" s="49">
        <f>'Ann 9'!F20</f>
        <v>223782.84368833006</v>
      </c>
    </row>
    <row r="15" spans="1:11" x14ac:dyDescent="0.6">
      <c r="A15" s="9"/>
      <c r="B15" s="50" t="s">
        <v>95</v>
      </c>
      <c r="C15" s="49">
        <f>C12-C13-C14</f>
        <v>270722.11538461549</v>
      </c>
      <c r="D15" s="49">
        <f t="shared" ref="D15:K15" si="2">D12-D13-D14</f>
        <v>579947.11538461572</v>
      </c>
      <c r="E15" s="49">
        <f t="shared" si="2"/>
        <v>894010.33653846197</v>
      </c>
      <c r="F15" s="49">
        <f t="shared" si="2"/>
        <v>1208867.1514423084</v>
      </c>
      <c r="G15" s="49">
        <f t="shared" si="2"/>
        <v>1528523.5210336549</v>
      </c>
      <c r="H15" s="49">
        <f t="shared" si="2"/>
        <v>1856797.0121093765</v>
      </c>
      <c r="I15" s="49">
        <f t="shared" si="2"/>
        <v>2197386.3064468172</v>
      </c>
      <c r="J15" s="49">
        <f t="shared" si="2"/>
        <v>2537301.7162490254</v>
      </c>
      <c r="K15" s="49">
        <f t="shared" si="2"/>
        <v>2869100.3713116725</v>
      </c>
    </row>
    <row r="16" spans="1:11" x14ac:dyDescent="0.6">
      <c r="A16" s="9"/>
      <c r="B16" s="50" t="s">
        <v>287</v>
      </c>
      <c r="C16" s="49">
        <f>'Ann 10'!B14</f>
        <v>81216.634615384639</v>
      </c>
      <c r="D16" s="49">
        <f>'Ann 10'!C14</f>
        <v>173984.13461538471</v>
      </c>
      <c r="E16" s="49">
        <f>'Ann 10'!D14</f>
        <v>268203.10096153856</v>
      </c>
      <c r="F16" s="49">
        <f>'Ann 10'!E14</f>
        <v>362660.14543269255</v>
      </c>
      <c r="G16" s="49">
        <f>'Ann 10'!F14</f>
        <v>458557.05631009646</v>
      </c>
      <c r="H16" s="49">
        <f>'Ann 10'!G14</f>
        <v>557039.10363281297</v>
      </c>
      <c r="I16" s="49">
        <f>'Ann 10'!H14</f>
        <v>659215.89193404512</v>
      </c>
      <c r="J16" s="49">
        <f>'Ann 10'!I14</f>
        <v>761190.51487470756</v>
      </c>
      <c r="K16" s="49">
        <f>'Ann 10'!J14</f>
        <v>860730.11139350175</v>
      </c>
    </row>
    <row r="17" spans="1:11" x14ac:dyDescent="0.6">
      <c r="A17" s="9"/>
      <c r="B17" s="50" t="s">
        <v>96</v>
      </c>
      <c r="C17" s="49">
        <f>C15-C16</f>
        <v>189505.48076923087</v>
      </c>
      <c r="D17" s="49">
        <f>D15-D16</f>
        <v>405962.98076923098</v>
      </c>
      <c r="E17" s="49">
        <f t="shared" ref="E17:K17" si="3">E15-E16</f>
        <v>625807.23557692347</v>
      </c>
      <c r="F17" s="49">
        <f t="shared" si="3"/>
        <v>846207.00600961596</v>
      </c>
      <c r="G17" s="49">
        <f t="shared" si="3"/>
        <v>1069966.4647235584</v>
      </c>
      <c r="H17" s="49">
        <f t="shared" si="3"/>
        <v>1299757.9084765636</v>
      </c>
      <c r="I17" s="49">
        <f t="shared" si="3"/>
        <v>1538170.4145127721</v>
      </c>
      <c r="J17" s="49">
        <f t="shared" si="3"/>
        <v>1776111.201374318</v>
      </c>
      <c r="K17" s="49">
        <f t="shared" si="3"/>
        <v>2008370.2599181707</v>
      </c>
    </row>
    <row r="18" spans="1:11" x14ac:dyDescent="0.6">
      <c r="A18" s="9"/>
      <c r="B18" s="50" t="s">
        <v>295</v>
      </c>
      <c r="C18" s="49">
        <f>C17*80%</f>
        <v>151604.38461538471</v>
      </c>
      <c r="D18" s="49">
        <f t="shared" ref="D18:K18" si="4">D17*80%</f>
        <v>324770.3846153848</v>
      </c>
      <c r="E18" s="49">
        <f t="shared" si="4"/>
        <v>500645.78846153879</v>
      </c>
      <c r="F18" s="49">
        <f t="shared" si="4"/>
        <v>676965.60480769281</v>
      </c>
      <c r="G18" s="49">
        <f t="shared" si="4"/>
        <v>855973.17177884676</v>
      </c>
      <c r="H18" s="49">
        <f t="shared" si="4"/>
        <v>1039806.326781251</v>
      </c>
      <c r="I18" s="49">
        <f t="shared" si="4"/>
        <v>1230536.3316102177</v>
      </c>
      <c r="J18" s="49">
        <f t="shared" si="4"/>
        <v>1420888.9610994544</v>
      </c>
      <c r="K18" s="49">
        <f t="shared" si="4"/>
        <v>1606696.2079345367</v>
      </c>
    </row>
    <row r="19" spans="1:11" x14ac:dyDescent="0.6">
      <c r="A19" s="9"/>
      <c r="B19" s="50" t="s">
        <v>106</v>
      </c>
      <c r="C19" s="49">
        <f>C17-C18</f>
        <v>37901.096153846156</v>
      </c>
      <c r="D19" s="49">
        <f t="shared" ref="D19:K19" si="5">D17-D18</f>
        <v>81192.596153846185</v>
      </c>
      <c r="E19" s="49">
        <f t="shared" si="5"/>
        <v>125161.44711538468</v>
      </c>
      <c r="F19" s="49">
        <f t="shared" si="5"/>
        <v>169241.40120192314</v>
      </c>
      <c r="G19" s="49">
        <f t="shared" si="5"/>
        <v>213993.29294471163</v>
      </c>
      <c r="H19" s="49">
        <f t="shared" si="5"/>
        <v>259951.58169531263</v>
      </c>
      <c r="I19" s="49">
        <f t="shared" si="5"/>
        <v>307634.08290255442</v>
      </c>
      <c r="J19" s="49">
        <f t="shared" si="5"/>
        <v>355222.24027486355</v>
      </c>
      <c r="K19" s="49">
        <f t="shared" si="5"/>
        <v>401674.05198363401</v>
      </c>
    </row>
  </sheetData>
  <mergeCells count="3">
    <mergeCell ref="C3:K3"/>
    <mergeCell ref="B3:B4"/>
    <mergeCell ref="A3:A4"/>
  </mergeCells>
  <pageMargins left="0.7" right="0.7" top="0.75" bottom="0.75" header="0.3" footer="0.3"/>
  <pageSetup scale="5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2"/>
  <sheetViews>
    <sheetView topLeftCell="A8" workbookViewId="0">
      <selection activeCell="C24" sqref="C24"/>
    </sheetView>
  </sheetViews>
  <sheetFormatPr defaultRowHeight="17" x14ac:dyDescent="0.6"/>
  <cols>
    <col min="1" max="1" width="8.7265625" style="8"/>
    <col min="2" max="2" width="28.26953125" style="8" customWidth="1"/>
    <col min="3" max="3" width="15.6328125" style="8" bestFit="1" customWidth="1"/>
    <col min="4" max="10" width="13.7265625" style="8" bestFit="1" customWidth="1"/>
    <col min="11" max="11" width="13.6328125" style="8" bestFit="1" customWidth="1"/>
    <col min="12" max="12" width="10" style="8" bestFit="1" customWidth="1"/>
    <col min="13" max="16384" width="8.7265625" style="8"/>
  </cols>
  <sheetData>
    <row r="1" spans="1:11" x14ac:dyDescent="0.6">
      <c r="A1" s="7" t="s">
        <v>107</v>
      </c>
    </row>
    <row r="3" spans="1:11" x14ac:dyDescent="0.6">
      <c r="A3" s="8" t="s">
        <v>108</v>
      </c>
    </row>
    <row r="5" spans="1:11" x14ac:dyDescent="0.6">
      <c r="A5" s="126" t="s">
        <v>36</v>
      </c>
      <c r="B5" s="126" t="s">
        <v>37</v>
      </c>
      <c r="C5" s="126" t="s">
        <v>47</v>
      </c>
      <c r="D5" s="126"/>
      <c r="E5" s="126"/>
      <c r="F5" s="126"/>
      <c r="G5" s="126"/>
      <c r="H5" s="126"/>
      <c r="I5" s="126"/>
      <c r="J5" s="126"/>
      <c r="K5" s="126"/>
    </row>
    <row r="6" spans="1:11" x14ac:dyDescent="0.6">
      <c r="A6" s="126"/>
      <c r="B6" s="126"/>
      <c r="C6" s="66" t="s">
        <v>38</v>
      </c>
      <c r="D6" s="66" t="s">
        <v>39</v>
      </c>
      <c r="E6" s="66" t="s">
        <v>40</v>
      </c>
      <c r="F6" s="66" t="s">
        <v>41</v>
      </c>
      <c r="G6" s="66" t="s">
        <v>42</v>
      </c>
      <c r="H6" s="66" t="s">
        <v>43</v>
      </c>
      <c r="I6" s="66" t="s">
        <v>44</v>
      </c>
      <c r="J6" s="66" t="s">
        <v>45</v>
      </c>
      <c r="K6" s="66" t="s">
        <v>46</v>
      </c>
    </row>
    <row r="7" spans="1:11" x14ac:dyDescent="0.6">
      <c r="A7" s="37" t="s">
        <v>141</v>
      </c>
      <c r="B7" s="53" t="s">
        <v>109</v>
      </c>
      <c r="C7" s="54"/>
      <c r="D7" s="54"/>
      <c r="E7" s="55"/>
      <c r="F7" s="55"/>
      <c r="G7" s="55"/>
      <c r="H7" s="55"/>
      <c r="I7" s="55"/>
      <c r="J7" s="55"/>
      <c r="K7" s="55"/>
    </row>
    <row r="8" spans="1:11" x14ac:dyDescent="0.6">
      <c r="A8" s="31">
        <v>1</v>
      </c>
      <c r="B8" s="32" t="s">
        <v>110</v>
      </c>
      <c r="C8" s="14"/>
      <c r="D8" s="14"/>
      <c r="E8" s="15"/>
      <c r="F8" s="15"/>
      <c r="G8" s="15"/>
      <c r="H8" s="15"/>
      <c r="I8" s="15"/>
      <c r="J8" s="15"/>
      <c r="K8" s="15"/>
    </row>
    <row r="9" spans="1:11" x14ac:dyDescent="0.6">
      <c r="A9" s="31"/>
      <c r="B9" s="32" t="s">
        <v>111</v>
      </c>
      <c r="C9" s="56">
        <f>('Ann 9'!F9*100000)+('Ann 1'!C8*100000)</f>
        <v>5475000</v>
      </c>
      <c r="D9" s="57">
        <f>C11</f>
        <v>4653750</v>
      </c>
      <c r="E9" s="18">
        <f t="shared" ref="E9:K9" si="0">D11</f>
        <v>3955687.5</v>
      </c>
      <c r="F9" s="18">
        <f t="shared" si="0"/>
        <v>3362334.375</v>
      </c>
      <c r="G9" s="18">
        <f t="shared" si="0"/>
        <v>2857984.21875</v>
      </c>
      <c r="H9" s="18">
        <f t="shared" si="0"/>
        <v>2429286.5859375</v>
      </c>
      <c r="I9" s="18">
        <f t="shared" si="0"/>
        <v>2064893.5980468751</v>
      </c>
      <c r="J9" s="18">
        <f t="shared" si="0"/>
        <v>1755159.5583398438</v>
      </c>
      <c r="K9" s="18">
        <f t="shared" si="0"/>
        <v>1491885.6245888672</v>
      </c>
    </row>
    <row r="10" spans="1:11" x14ac:dyDescent="0.6">
      <c r="A10" s="31"/>
      <c r="B10" s="32" t="s">
        <v>112</v>
      </c>
      <c r="C10" s="56">
        <f>'Ann 9'!C12+'Ann 9'!D12+'Ann 9'!E12</f>
        <v>821250</v>
      </c>
      <c r="D10" s="57">
        <f>'Ann 9'!C13+'Ann 9'!D13+'Ann 9'!E13</f>
        <v>698062.5</v>
      </c>
      <c r="E10" s="18">
        <f>'Ann 9'!C14+'Ann 9'!D14+'Ann 9'!E14</f>
        <v>593353.125</v>
      </c>
      <c r="F10" s="18">
        <f>'Ann 9'!C15+'Ann 9'!D15+'Ann 9'!E15</f>
        <v>504350.15625</v>
      </c>
      <c r="G10" s="18">
        <f>'Ann 9'!C16+'Ann 9'!D16+'Ann 9'!E16</f>
        <v>428697.6328125</v>
      </c>
      <c r="H10" s="18">
        <f>'Ann 9'!C17+'Ann 9'!D17+'Ann 9'!E17</f>
        <v>364392.98789062497</v>
      </c>
      <c r="I10" s="18">
        <f>+'Ann 9'!C18+'Ann 9'!D18+'Ann 9'!E18</f>
        <v>309734.03970703128</v>
      </c>
      <c r="J10" s="18">
        <f>'Ann 9'!C19+'Ann 9'!D19+'Ann 9'!E19</f>
        <v>263273.93375097658</v>
      </c>
      <c r="K10" s="18">
        <f>+'Ann 9'!C20+'Ann 9'!D20+'Ann 9'!E20</f>
        <v>223782.84368833006</v>
      </c>
    </row>
    <row r="11" spans="1:11" x14ac:dyDescent="0.6">
      <c r="A11" s="31"/>
      <c r="B11" s="32" t="s">
        <v>113</v>
      </c>
      <c r="C11" s="56">
        <f>C9-C10</f>
        <v>4653750</v>
      </c>
      <c r="D11" s="57">
        <f>D9-D10</f>
        <v>3955687.5</v>
      </c>
      <c r="E11" s="18">
        <f t="shared" ref="E11:K11" si="1">E9-E10</f>
        <v>3362334.375</v>
      </c>
      <c r="F11" s="18">
        <f t="shared" si="1"/>
        <v>2857984.21875</v>
      </c>
      <c r="G11" s="18">
        <f t="shared" si="1"/>
        <v>2429286.5859375</v>
      </c>
      <c r="H11" s="18">
        <f t="shared" si="1"/>
        <v>2064893.5980468751</v>
      </c>
      <c r="I11" s="18">
        <f t="shared" si="1"/>
        <v>1755159.5583398438</v>
      </c>
      <c r="J11" s="18">
        <f t="shared" si="1"/>
        <v>1491885.6245888672</v>
      </c>
      <c r="K11" s="18">
        <f t="shared" si="1"/>
        <v>1268102.780900537</v>
      </c>
    </row>
    <row r="12" spans="1:11" x14ac:dyDescent="0.6">
      <c r="A12" s="31">
        <v>2</v>
      </c>
      <c r="B12" s="32" t="s">
        <v>114</v>
      </c>
      <c r="C12" s="56">
        <f>'Ann 4'!C7*30/360</f>
        <v>125000</v>
      </c>
      <c r="D12" s="56">
        <f>'Ann 4'!D7*30/360</f>
        <v>137500.00000000003</v>
      </c>
      <c r="E12" s="56">
        <f>'Ann 4'!E7*30/360</f>
        <v>151250.00000000003</v>
      </c>
      <c r="F12" s="56">
        <f>'Ann 4'!F7*30/360</f>
        <v>166375.00000000006</v>
      </c>
      <c r="G12" s="56">
        <f>'Ann 4'!G7*30/360</f>
        <v>183012.50000000009</v>
      </c>
      <c r="H12" s="56">
        <f>'Ann 4'!H7*30/360</f>
        <v>201313.75000000012</v>
      </c>
      <c r="I12" s="56">
        <f>'Ann 4'!I7*30/360</f>
        <v>221445.12500000017</v>
      </c>
      <c r="J12" s="56">
        <f>'Ann 4'!J7*30/360</f>
        <v>243589.63750000016</v>
      </c>
      <c r="K12" s="56">
        <f>'Ann 4'!K7*30/360</f>
        <v>267948.60125000024</v>
      </c>
    </row>
    <row r="13" spans="1:11" x14ac:dyDescent="0.6">
      <c r="A13" s="31">
        <v>3</v>
      </c>
      <c r="B13" s="32" t="s">
        <v>115</v>
      </c>
      <c r="C13" s="59">
        <f>'Ann 14'!C20</f>
        <v>1589535.7115384617</v>
      </c>
      <c r="D13" s="59">
        <f>'Ann 14'!D20</f>
        <v>1617060.038461539</v>
      </c>
      <c r="E13" s="59">
        <f>'Ann 14'!E20</f>
        <v>1582593.8413461545</v>
      </c>
      <c r="F13" s="59">
        <f>'Ann 14'!F20</f>
        <v>1501829.6295673084</v>
      </c>
      <c r="G13" s="59">
        <f>'Ann 14'!G20</f>
        <v>1388652.286093751</v>
      </c>
      <c r="H13" s="59">
        <f>'Ann 14'!H20</f>
        <v>1255464.8364489195</v>
      </c>
      <c r="I13" s="59">
        <f>'Ann 14'!I20</f>
        <v>1113470.8148277372</v>
      </c>
      <c r="J13" s="59">
        <f>'Ann 14'!J20</f>
        <v>1709822.4763535776</v>
      </c>
      <c r="K13" s="59">
        <f>'Ann 14'!K20</f>
        <v>2310920.4082755409</v>
      </c>
    </row>
    <row r="14" spans="1:11" x14ac:dyDescent="0.6">
      <c r="A14" s="31"/>
      <c r="B14" s="32" t="s">
        <v>123</v>
      </c>
      <c r="C14" s="56">
        <f t="shared" ref="C14:K14" si="2">SUM(C11:C13)</f>
        <v>6368285.711538462</v>
      </c>
      <c r="D14" s="56">
        <f t="shared" si="2"/>
        <v>5710247.538461539</v>
      </c>
      <c r="E14" s="60">
        <f t="shared" si="2"/>
        <v>5096178.216346154</v>
      </c>
      <c r="F14" s="60">
        <f t="shared" si="2"/>
        <v>4526188.8483173084</v>
      </c>
      <c r="G14" s="60">
        <f t="shared" si="2"/>
        <v>4000951.372031251</v>
      </c>
      <c r="H14" s="60">
        <f t="shared" si="2"/>
        <v>3521672.1844957946</v>
      </c>
      <c r="I14" s="60">
        <f t="shared" si="2"/>
        <v>3090075.4981675809</v>
      </c>
      <c r="J14" s="60">
        <f t="shared" si="2"/>
        <v>3445297.7384424452</v>
      </c>
      <c r="K14" s="60">
        <f t="shared" si="2"/>
        <v>3846971.7904260783</v>
      </c>
    </row>
    <row r="15" spans="1:11" x14ac:dyDescent="0.6">
      <c r="A15" s="31"/>
      <c r="B15" s="32"/>
      <c r="C15" s="56"/>
      <c r="D15" s="56"/>
      <c r="E15" s="60"/>
      <c r="F15" s="60"/>
      <c r="G15" s="60"/>
      <c r="H15" s="60"/>
      <c r="I15" s="60"/>
      <c r="J15" s="60"/>
      <c r="K15" s="60"/>
    </row>
    <row r="16" spans="1:11" x14ac:dyDescent="0.6">
      <c r="A16" s="31" t="s">
        <v>142</v>
      </c>
      <c r="B16" s="61" t="s">
        <v>116</v>
      </c>
      <c r="C16" s="14"/>
      <c r="D16" s="14"/>
      <c r="E16" s="15"/>
      <c r="F16" s="15"/>
      <c r="G16" s="15"/>
      <c r="H16" s="15"/>
      <c r="I16" s="15"/>
      <c r="J16" s="15"/>
      <c r="K16" s="15"/>
    </row>
    <row r="17" spans="1:13" x14ac:dyDescent="0.6">
      <c r="A17" s="31">
        <v>1</v>
      </c>
      <c r="B17" s="32" t="s">
        <v>117</v>
      </c>
      <c r="C17" s="59">
        <f>'Ann 2'!C4*100000</f>
        <v>670000</v>
      </c>
      <c r="D17" s="59">
        <f>C20</f>
        <v>707901.09615384613</v>
      </c>
      <c r="E17" s="62">
        <f t="shared" ref="E17:K17" si="3">D20</f>
        <v>789093.69230769225</v>
      </c>
      <c r="F17" s="62">
        <f t="shared" si="3"/>
        <v>914255.13942307699</v>
      </c>
      <c r="G17" s="62">
        <f t="shared" si="3"/>
        <v>1083496.5406250001</v>
      </c>
      <c r="H17" s="62">
        <f t="shared" si="3"/>
        <v>1297489.8335697118</v>
      </c>
      <c r="I17" s="62">
        <f t="shared" si="3"/>
        <v>1557441.4152650244</v>
      </c>
      <c r="J17" s="62">
        <f t="shared" si="3"/>
        <v>1865075.4981675788</v>
      </c>
      <c r="K17" s="62">
        <f t="shared" si="3"/>
        <v>2220297.7384424424</v>
      </c>
    </row>
    <row r="18" spans="1:13" x14ac:dyDescent="0.6">
      <c r="A18" s="31"/>
      <c r="B18" s="32" t="s">
        <v>118</v>
      </c>
      <c r="C18" s="59">
        <f>'Ann 4'!C19</f>
        <v>37901.096153846156</v>
      </c>
      <c r="D18" s="59">
        <f>'Ann 4'!D19</f>
        <v>81192.596153846185</v>
      </c>
      <c r="E18" s="62">
        <f>'Ann 4'!E19</f>
        <v>125161.44711538468</v>
      </c>
      <c r="F18" s="62">
        <f>'Ann 4'!F19</f>
        <v>169241.40120192314</v>
      </c>
      <c r="G18" s="62">
        <f>'Ann 4'!G19</f>
        <v>213993.29294471163</v>
      </c>
      <c r="H18" s="62">
        <f>'Ann 4'!H19</f>
        <v>259951.58169531263</v>
      </c>
      <c r="I18" s="62">
        <f>'Ann 4'!I19</f>
        <v>307634.08290255442</v>
      </c>
      <c r="J18" s="62">
        <f>'Ann 4'!J19</f>
        <v>355222.24027486355</v>
      </c>
      <c r="K18" s="62">
        <f>'Ann 4'!K19</f>
        <v>401674.05198363401</v>
      </c>
    </row>
    <row r="19" spans="1:13" x14ac:dyDescent="0.6">
      <c r="A19" s="31"/>
      <c r="B19" s="32" t="s">
        <v>119</v>
      </c>
      <c r="C19" s="59">
        <v>0</v>
      </c>
      <c r="D19" s="59">
        <v>0</v>
      </c>
      <c r="E19" s="62">
        <v>0</v>
      </c>
      <c r="F19" s="62">
        <v>0</v>
      </c>
      <c r="G19" s="62">
        <v>0</v>
      </c>
      <c r="H19" s="62">
        <v>0</v>
      </c>
      <c r="I19" s="62">
        <v>0</v>
      </c>
      <c r="J19" s="62">
        <v>0</v>
      </c>
      <c r="K19" s="62">
        <v>0</v>
      </c>
    </row>
    <row r="20" spans="1:13" x14ac:dyDescent="0.6">
      <c r="A20" s="31"/>
      <c r="B20" s="32" t="s">
        <v>120</v>
      </c>
      <c r="C20" s="59">
        <f>C17+C18</f>
        <v>707901.09615384613</v>
      </c>
      <c r="D20" s="59">
        <f t="shared" ref="D20:K20" si="4">D17+D18</f>
        <v>789093.69230769225</v>
      </c>
      <c r="E20" s="62">
        <f t="shared" si="4"/>
        <v>914255.13942307699</v>
      </c>
      <c r="F20" s="62">
        <f t="shared" si="4"/>
        <v>1083496.5406250001</v>
      </c>
      <c r="G20" s="62">
        <f t="shared" si="4"/>
        <v>1297489.8335697118</v>
      </c>
      <c r="H20" s="62">
        <f t="shared" si="4"/>
        <v>1557441.4152650244</v>
      </c>
      <c r="I20" s="62">
        <f t="shared" si="4"/>
        <v>1865075.4981675788</v>
      </c>
      <c r="J20" s="62">
        <f t="shared" si="4"/>
        <v>2220297.7384424424</v>
      </c>
      <c r="K20" s="62">
        <f t="shared" si="4"/>
        <v>2621971.7904260764</v>
      </c>
    </row>
    <row r="21" spans="1:13" x14ac:dyDescent="0.6">
      <c r="A21" s="31">
        <v>2</v>
      </c>
      <c r="B21" s="32" t="s">
        <v>121</v>
      </c>
      <c r="C21" s="59">
        <f>'Ann 13'!C13*100000</f>
        <v>4435384.615384615</v>
      </c>
      <c r="D21" s="59">
        <f>'Ann 13'!C17*100000</f>
        <v>3696153.8461538451</v>
      </c>
      <c r="E21" s="59">
        <f>'Ann 13'!C21*100000</f>
        <v>2956923.0769230756</v>
      </c>
      <c r="F21" s="59">
        <f>'Ann 13'!C25*100000</f>
        <v>2217692.3076923061</v>
      </c>
      <c r="G21" s="62">
        <f>('Ann 13'!C28-'Ann 13'!D28)*100000</f>
        <v>1478461.5384615366</v>
      </c>
      <c r="H21" s="62">
        <f>('Ann 13'!C32-'Ann 13'!D32)*100000</f>
        <v>739230.76923076762</v>
      </c>
      <c r="I21" s="62">
        <v>0</v>
      </c>
      <c r="J21" s="62">
        <v>0</v>
      </c>
      <c r="K21" s="62">
        <v>0</v>
      </c>
    </row>
    <row r="22" spans="1:13" x14ac:dyDescent="0.6">
      <c r="A22" s="31">
        <v>3</v>
      </c>
      <c r="B22" s="58" t="s">
        <v>154</v>
      </c>
      <c r="C22" s="59">
        <f>'Ann 1'!$C$25*100000</f>
        <v>1225000</v>
      </c>
      <c r="D22" s="59">
        <f>'Ann 1'!$C$25*100000</f>
        <v>1225000</v>
      </c>
      <c r="E22" s="59">
        <f>'Ann 1'!$C$25*100000</f>
        <v>1225000</v>
      </c>
      <c r="F22" s="59">
        <f>'Ann 1'!$C$25*100000</f>
        <v>1225000</v>
      </c>
      <c r="G22" s="59">
        <f>'Ann 1'!$C$25*100000</f>
        <v>1225000</v>
      </c>
      <c r="H22" s="59">
        <f>'Ann 1'!$C$25*100000</f>
        <v>1225000</v>
      </c>
      <c r="I22" s="59">
        <f>'Ann 1'!$C$25*100000</f>
        <v>1225000</v>
      </c>
      <c r="J22" s="59">
        <f>'Ann 1'!$C$25*100000</f>
        <v>1225000</v>
      </c>
      <c r="K22" s="59">
        <f>'Ann 1'!$C$25*100000</f>
        <v>1225000</v>
      </c>
    </row>
    <row r="23" spans="1:13" x14ac:dyDescent="0.6">
      <c r="A23" s="31"/>
      <c r="B23" s="32" t="s">
        <v>122</v>
      </c>
      <c r="C23" s="56">
        <f t="shared" ref="C23:K23" si="5">SUM(C20:C22)</f>
        <v>6368285.711538461</v>
      </c>
      <c r="D23" s="56">
        <f t="shared" si="5"/>
        <v>5710247.5384615371</v>
      </c>
      <c r="E23" s="56">
        <f t="shared" si="5"/>
        <v>5096178.2163461521</v>
      </c>
      <c r="F23" s="56">
        <f t="shared" si="5"/>
        <v>4526188.8483173065</v>
      </c>
      <c r="G23" s="56">
        <f t="shared" si="5"/>
        <v>4000951.3720312482</v>
      </c>
      <c r="H23" s="56">
        <f t="shared" si="5"/>
        <v>3521672.1844957918</v>
      </c>
      <c r="I23" s="56">
        <f t="shared" si="5"/>
        <v>3090075.4981675791</v>
      </c>
      <c r="J23" s="56">
        <f t="shared" si="5"/>
        <v>3445297.7384424424</v>
      </c>
      <c r="K23" s="56">
        <f t="shared" si="5"/>
        <v>3846971.7904260764</v>
      </c>
    </row>
    <row r="24" spans="1:13" x14ac:dyDescent="0.6">
      <c r="A24" s="31"/>
      <c r="B24" s="32"/>
      <c r="C24" s="56">
        <f>C23-C14</f>
        <v>0</v>
      </c>
      <c r="D24" s="56"/>
      <c r="E24" s="56"/>
      <c r="F24" s="56"/>
      <c r="G24" s="56"/>
      <c r="H24" s="56"/>
      <c r="I24" s="56"/>
      <c r="J24" s="56"/>
      <c r="K24" s="56"/>
      <c r="L24" s="63"/>
      <c r="M24" s="32"/>
    </row>
    <row r="25" spans="1:13" x14ac:dyDescent="0.6">
      <c r="A25" s="67"/>
      <c r="B25" s="68" t="s">
        <v>124</v>
      </c>
      <c r="C25" s="69"/>
      <c r="D25" s="69"/>
      <c r="E25" s="70"/>
      <c r="F25" s="70"/>
      <c r="G25" s="70"/>
      <c r="H25" s="70"/>
      <c r="I25" s="70"/>
      <c r="J25" s="70"/>
      <c r="K25" s="70"/>
    </row>
    <row r="26" spans="1:13" x14ac:dyDescent="0.6">
      <c r="A26" s="31"/>
      <c r="B26" s="32" t="s">
        <v>125</v>
      </c>
      <c r="C26" s="56">
        <f t="shared" ref="C26:K26" si="6">SUM(C12:C13)</f>
        <v>1714535.7115384617</v>
      </c>
      <c r="D26" s="56">
        <f t="shared" si="6"/>
        <v>1754560.038461539</v>
      </c>
      <c r="E26" s="60">
        <f t="shared" si="6"/>
        <v>1733843.8413461545</v>
      </c>
      <c r="F26" s="60">
        <f t="shared" si="6"/>
        <v>1668204.6295673084</v>
      </c>
      <c r="G26" s="60">
        <f t="shared" si="6"/>
        <v>1571664.786093751</v>
      </c>
      <c r="H26" s="60">
        <f t="shared" si="6"/>
        <v>1456778.5864489195</v>
      </c>
      <c r="I26" s="60">
        <f t="shared" si="6"/>
        <v>1334915.9398277374</v>
      </c>
      <c r="J26" s="60">
        <f t="shared" si="6"/>
        <v>1953412.1138535778</v>
      </c>
      <c r="K26" s="60">
        <f t="shared" si="6"/>
        <v>2578869.0095255412</v>
      </c>
    </row>
    <row r="27" spans="1:13" x14ac:dyDescent="0.6">
      <c r="A27" s="31"/>
      <c r="B27" s="32" t="s">
        <v>126</v>
      </c>
      <c r="C27" s="56">
        <f>C22</f>
        <v>1225000</v>
      </c>
      <c r="D27" s="56">
        <f t="shared" ref="D27:K27" si="7">D22</f>
        <v>1225000</v>
      </c>
      <c r="E27" s="56">
        <f t="shared" si="7"/>
        <v>1225000</v>
      </c>
      <c r="F27" s="56">
        <f t="shared" si="7"/>
        <v>1225000</v>
      </c>
      <c r="G27" s="56">
        <f t="shared" si="7"/>
        <v>1225000</v>
      </c>
      <c r="H27" s="56">
        <f t="shared" si="7"/>
        <v>1225000</v>
      </c>
      <c r="I27" s="56">
        <f t="shared" si="7"/>
        <v>1225000</v>
      </c>
      <c r="J27" s="56">
        <f t="shared" si="7"/>
        <v>1225000</v>
      </c>
      <c r="K27" s="56">
        <f t="shared" si="7"/>
        <v>1225000</v>
      </c>
    </row>
    <row r="28" spans="1:13" x14ac:dyDescent="0.6">
      <c r="A28" s="31"/>
      <c r="B28" s="32" t="s">
        <v>130</v>
      </c>
      <c r="C28" s="14">
        <f>C26/C27</f>
        <v>1.3996209890109892</v>
      </c>
      <c r="D28" s="14">
        <f>D26/D27</f>
        <v>1.432293908948195</v>
      </c>
      <c r="E28" s="15">
        <f t="shared" ref="E28:K28" si="8">E26/E27</f>
        <v>1.4153827276295139</v>
      </c>
      <c r="F28" s="15">
        <f t="shared" si="8"/>
        <v>1.3617996976059661</v>
      </c>
      <c r="G28" s="15">
        <f t="shared" si="8"/>
        <v>1.2829916621173478</v>
      </c>
      <c r="H28" s="15">
        <f t="shared" si="8"/>
        <v>1.1892070093460567</v>
      </c>
      <c r="I28" s="15">
        <f t="shared" si="8"/>
        <v>1.089727297818561</v>
      </c>
      <c r="J28" s="15">
        <f t="shared" si="8"/>
        <v>1.5946221337580226</v>
      </c>
      <c r="K28" s="15">
        <f t="shared" si="8"/>
        <v>2.1051991914494215</v>
      </c>
    </row>
    <row r="29" spans="1:13" x14ac:dyDescent="0.6">
      <c r="A29" s="31"/>
      <c r="B29" s="58" t="s">
        <v>143</v>
      </c>
      <c r="C29" s="14"/>
      <c r="D29" s="14"/>
      <c r="E29" s="15"/>
      <c r="F29" s="15">
        <f>AVERAGE(C28:K28)</f>
        <v>1.4300938464093416</v>
      </c>
      <c r="G29" s="15"/>
      <c r="H29" s="15"/>
      <c r="I29" s="15"/>
      <c r="J29" s="15"/>
      <c r="K29" s="15"/>
    </row>
    <row r="30" spans="1:13" x14ac:dyDescent="0.6">
      <c r="A30" s="31"/>
      <c r="B30" s="32"/>
      <c r="C30" s="14"/>
      <c r="D30" s="14"/>
      <c r="E30" s="15"/>
      <c r="F30" s="15"/>
      <c r="G30" s="15"/>
      <c r="H30" s="15"/>
      <c r="I30" s="15"/>
      <c r="J30" s="15"/>
      <c r="K30" s="15"/>
    </row>
    <row r="31" spans="1:13" x14ac:dyDescent="0.6">
      <c r="A31" s="67"/>
      <c r="B31" s="68" t="s">
        <v>127</v>
      </c>
      <c r="C31" s="69"/>
      <c r="D31" s="69"/>
      <c r="E31" s="70"/>
      <c r="F31" s="70"/>
      <c r="G31" s="70"/>
      <c r="H31" s="70"/>
      <c r="I31" s="70"/>
      <c r="J31" s="70"/>
      <c r="K31" s="70"/>
    </row>
    <row r="32" spans="1:13" x14ac:dyDescent="0.6">
      <c r="A32" s="31"/>
      <c r="B32" s="32" t="s">
        <v>128</v>
      </c>
      <c r="C32" s="56">
        <f t="shared" ref="C32:K32" si="9">C21+C22</f>
        <v>5660384.615384615</v>
      </c>
      <c r="D32" s="56">
        <f t="shared" si="9"/>
        <v>4921153.8461538451</v>
      </c>
      <c r="E32" s="56">
        <f t="shared" si="9"/>
        <v>4181923.0769230756</v>
      </c>
      <c r="F32" s="56">
        <f t="shared" si="9"/>
        <v>3442692.3076923061</v>
      </c>
      <c r="G32" s="56">
        <f t="shared" si="9"/>
        <v>2703461.5384615366</v>
      </c>
      <c r="H32" s="56">
        <f t="shared" si="9"/>
        <v>1964230.7692307676</v>
      </c>
      <c r="I32" s="56">
        <f t="shared" si="9"/>
        <v>1225000</v>
      </c>
      <c r="J32" s="56">
        <f t="shared" si="9"/>
        <v>1225000</v>
      </c>
      <c r="K32" s="56">
        <f t="shared" si="9"/>
        <v>1225000</v>
      </c>
    </row>
    <row r="33" spans="1:11" x14ac:dyDescent="0.6">
      <c r="A33" s="31"/>
      <c r="B33" s="32" t="s">
        <v>129</v>
      </c>
      <c r="C33" s="56">
        <f t="shared" ref="C33:K33" si="10">C20</f>
        <v>707901.09615384613</v>
      </c>
      <c r="D33" s="56">
        <f t="shared" si="10"/>
        <v>789093.69230769225</v>
      </c>
      <c r="E33" s="60">
        <f t="shared" si="10"/>
        <v>914255.13942307699</v>
      </c>
      <c r="F33" s="60">
        <f t="shared" si="10"/>
        <v>1083496.5406250001</v>
      </c>
      <c r="G33" s="60">
        <f t="shared" si="10"/>
        <v>1297489.8335697118</v>
      </c>
      <c r="H33" s="60">
        <f t="shared" si="10"/>
        <v>1557441.4152650244</v>
      </c>
      <c r="I33" s="60">
        <f t="shared" si="10"/>
        <v>1865075.4981675788</v>
      </c>
      <c r="J33" s="60">
        <f t="shared" si="10"/>
        <v>2220297.7384424424</v>
      </c>
      <c r="K33" s="60">
        <f t="shared" si="10"/>
        <v>2621971.7904260764</v>
      </c>
    </row>
    <row r="34" spans="1:11" x14ac:dyDescent="0.6">
      <c r="A34" s="31"/>
      <c r="B34" s="32" t="s">
        <v>130</v>
      </c>
      <c r="C34" s="14">
        <f>C32/C33</f>
        <v>7.9960105248296713</v>
      </c>
      <c r="D34" s="14">
        <f t="shared" ref="D34:K34" si="11">D32/D33</f>
        <v>6.2364632921624388</v>
      </c>
      <c r="E34" s="15">
        <f t="shared" si="11"/>
        <v>4.5741313300814443</v>
      </c>
      <c r="F34" s="15">
        <f t="shared" si="11"/>
        <v>3.1773911393445116</v>
      </c>
      <c r="G34" s="15">
        <f t="shared" si="11"/>
        <v>2.0836090337784405</v>
      </c>
      <c r="H34" s="15">
        <f t="shared" si="11"/>
        <v>1.2611907902144244</v>
      </c>
      <c r="I34" s="15">
        <f t="shared" si="11"/>
        <v>0.6568098724172573</v>
      </c>
      <c r="J34" s="15">
        <f t="shared" si="11"/>
        <v>0.55172780604611515</v>
      </c>
      <c r="K34" s="15">
        <f t="shared" si="11"/>
        <v>0.46720563679326799</v>
      </c>
    </row>
    <row r="35" spans="1:11" x14ac:dyDescent="0.6">
      <c r="A35" s="31"/>
      <c r="B35" s="58" t="s">
        <v>143</v>
      </c>
      <c r="C35" s="14"/>
      <c r="D35" s="14"/>
      <c r="E35" s="15"/>
      <c r="F35" s="15">
        <f>AVERAGE(C34:K34)</f>
        <v>3.0005043806297298</v>
      </c>
      <c r="G35" s="15"/>
      <c r="H35" s="15"/>
      <c r="I35" s="60"/>
      <c r="J35" s="60"/>
      <c r="K35" s="60"/>
    </row>
    <row r="36" spans="1:11" x14ac:dyDescent="0.6">
      <c r="A36" s="31"/>
      <c r="B36" s="32"/>
      <c r="C36" s="14"/>
      <c r="D36" s="14"/>
      <c r="E36" s="15"/>
      <c r="F36" s="15"/>
      <c r="G36" s="15"/>
      <c r="H36" s="15"/>
      <c r="I36" s="60"/>
      <c r="J36" s="60"/>
      <c r="K36" s="60"/>
    </row>
    <row r="37" spans="1:11" x14ac:dyDescent="0.6">
      <c r="A37" s="67"/>
      <c r="B37" s="68" t="s">
        <v>144</v>
      </c>
      <c r="C37" s="69"/>
      <c r="D37" s="69"/>
      <c r="E37" s="70"/>
      <c r="F37" s="70"/>
      <c r="G37" s="70"/>
      <c r="H37" s="70"/>
      <c r="I37" s="71"/>
      <c r="J37" s="71"/>
      <c r="K37" s="71"/>
    </row>
    <row r="38" spans="1:11" x14ac:dyDescent="0.6">
      <c r="A38" s="31"/>
      <c r="B38" s="58" t="s">
        <v>145</v>
      </c>
      <c r="C38" s="56">
        <f t="shared" ref="C38:K38" si="12">C11</f>
        <v>4653750</v>
      </c>
      <c r="D38" s="56">
        <f t="shared" si="12"/>
        <v>3955687.5</v>
      </c>
      <c r="E38" s="56">
        <f t="shared" si="12"/>
        <v>3362334.375</v>
      </c>
      <c r="F38" s="56">
        <f t="shared" si="12"/>
        <v>2857984.21875</v>
      </c>
      <c r="G38" s="56">
        <f t="shared" si="12"/>
        <v>2429286.5859375</v>
      </c>
      <c r="H38" s="56">
        <f t="shared" si="12"/>
        <v>2064893.5980468751</v>
      </c>
      <c r="I38" s="56">
        <f t="shared" si="12"/>
        <v>1755159.5583398438</v>
      </c>
      <c r="J38" s="56">
        <f t="shared" si="12"/>
        <v>1491885.6245888672</v>
      </c>
      <c r="K38" s="56">
        <f t="shared" si="12"/>
        <v>1268102.780900537</v>
      </c>
    </row>
    <row r="39" spans="1:11" x14ac:dyDescent="0.6">
      <c r="A39" s="31"/>
      <c r="B39" s="58" t="s">
        <v>128</v>
      </c>
      <c r="C39" s="56">
        <f t="shared" ref="C39:K39" si="13">C21+C22</f>
        <v>5660384.615384615</v>
      </c>
      <c r="D39" s="56">
        <f t="shared" si="13"/>
        <v>4921153.8461538451</v>
      </c>
      <c r="E39" s="56">
        <f t="shared" si="13"/>
        <v>4181923.0769230756</v>
      </c>
      <c r="F39" s="56">
        <f t="shared" si="13"/>
        <v>3442692.3076923061</v>
      </c>
      <c r="G39" s="56">
        <f t="shared" si="13"/>
        <v>2703461.5384615366</v>
      </c>
      <c r="H39" s="56">
        <f t="shared" si="13"/>
        <v>1964230.7692307676</v>
      </c>
      <c r="I39" s="56">
        <f t="shared" si="13"/>
        <v>1225000</v>
      </c>
      <c r="J39" s="56">
        <f t="shared" si="13"/>
        <v>1225000</v>
      </c>
      <c r="K39" s="56">
        <f t="shared" si="13"/>
        <v>1225000</v>
      </c>
    </row>
    <row r="40" spans="1:11" x14ac:dyDescent="0.6">
      <c r="A40" s="31"/>
      <c r="B40" s="58" t="s">
        <v>139</v>
      </c>
      <c r="C40" s="14">
        <f>C38/C39</f>
        <v>0.82216144594686424</v>
      </c>
      <c r="D40" s="14">
        <f t="shared" ref="D40:G40" si="14">D38/D39</f>
        <v>0.80381301289566254</v>
      </c>
      <c r="E40" s="14">
        <f t="shared" si="14"/>
        <v>0.80401631334498325</v>
      </c>
      <c r="F40" s="14">
        <f t="shared" si="14"/>
        <v>0.83015964347558968</v>
      </c>
      <c r="G40" s="14">
        <f t="shared" si="14"/>
        <v>0.89858374213081582</v>
      </c>
      <c r="H40" s="56">
        <v>0</v>
      </c>
      <c r="I40" s="56">
        <v>0</v>
      </c>
      <c r="J40" s="56">
        <v>0</v>
      </c>
      <c r="K40" s="56">
        <v>0</v>
      </c>
    </row>
    <row r="41" spans="1:11" x14ac:dyDescent="0.6">
      <c r="A41" s="31"/>
      <c r="B41" s="58"/>
      <c r="C41" s="14"/>
      <c r="D41" s="14"/>
      <c r="E41" s="15"/>
      <c r="F41" s="15">
        <f>AVERAGE(C40:K40)</f>
        <v>0.46208157308821285</v>
      </c>
      <c r="G41" s="15"/>
      <c r="H41" s="15"/>
      <c r="I41" s="15"/>
      <c r="J41" s="15"/>
      <c r="K41" s="15"/>
    </row>
    <row r="42" spans="1:11" x14ac:dyDescent="0.6">
      <c r="A42" s="31"/>
      <c r="B42" s="32"/>
      <c r="C42" s="14"/>
      <c r="D42" s="14"/>
      <c r="E42" s="15"/>
      <c r="F42" s="15"/>
      <c r="G42" s="15"/>
      <c r="H42" s="15"/>
      <c r="I42" s="60"/>
      <c r="J42" s="60"/>
      <c r="K42" s="60"/>
    </row>
    <row r="43" spans="1:11" x14ac:dyDescent="0.6">
      <c r="A43" s="67"/>
      <c r="B43" s="68" t="s">
        <v>136</v>
      </c>
      <c r="C43" s="69"/>
      <c r="D43" s="69"/>
      <c r="E43" s="70"/>
      <c r="F43" s="70"/>
      <c r="G43" s="70"/>
      <c r="H43" s="70"/>
      <c r="I43" s="71"/>
      <c r="J43" s="71"/>
      <c r="K43" s="71"/>
    </row>
    <row r="44" spans="1:11" x14ac:dyDescent="0.6">
      <c r="A44" s="31"/>
      <c r="B44" s="32" t="s">
        <v>137</v>
      </c>
      <c r="C44" s="59">
        <f>'Ann 4'!C9+'Ann 4'!C10</f>
        <v>408027.88461538457</v>
      </c>
      <c r="D44" s="59">
        <f>'Ann 4'!D9+'Ann 4'!D10</f>
        <v>371990.38461538457</v>
      </c>
      <c r="E44" s="59">
        <f>'Ann 4'!E9+'Ann 4'!E10</f>
        <v>327636.53846153838</v>
      </c>
      <c r="F44" s="59">
        <f>'Ann 4'!F9+'Ann 4'!F10</f>
        <v>283282.69230769225</v>
      </c>
      <c r="G44" s="59">
        <f>'Ann 4'!G9+'Ann 4'!G10</f>
        <v>238928.84615384604</v>
      </c>
      <c r="H44" s="59">
        <f>'Ann 4'!H9+'Ann 4'!H10</f>
        <v>194574.99999999988</v>
      </c>
      <c r="I44" s="59">
        <f>'Ann 4'!I9+'Ann 4'!I10</f>
        <v>150221.15384615376</v>
      </c>
      <c r="J44" s="59">
        <f>'Ann 4'!J9+'Ann 4'!J10</f>
        <v>122500</v>
      </c>
      <c r="K44" s="59">
        <f>'Ann 4'!K9+'Ann 4'!K10</f>
        <v>122500</v>
      </c>
    </row>
    <row r="45" spans="1:11" x14ac:dyDescent="0.6">
      <c r="A45" s="31"/>
      <c r="B45" s="32" t="s">
        <v>140</v>
      </c>
      <c r="C45" s="59">
        <f>(SUM('Ann 13'!D9:D12)*100000)+('Ann 1'!$C$25*100000)</f>
        <v>1594615.3846153845</v>
      </c>
      <c r="D45" s="59">
        <f>(SUM('Ann 13'!D13:D16)*100000)+('Ann 1'!$C$25*100000)</f>
        <v>1964230.769230769</v>
      </c>
      <c r="E45" s="59">
        <f>(SUM('Ann 13'!D17:D20)*100000)+('Ann 1'!$C$25*100000)</f>
        <v>1964230.769230769</v>
      </c>
      <c r="F45" s="59">
        <f>(SUM('Ann 13'!D21:D24)*100000)+('Ann 1'!$C$25*100000)</f>
        <v>1964230.769230769</v>
      </c>
      <c r="G45" s="59">
        <f>(SUM('Ann 13'!D25:D28)*100000)+('Ann 1'!$C$25*100000)</f>
        <v>1964230.769230769</v>
      </c>
      <c r="H45" s="59">
        <f>(SUM('Ann 13'!D29:D32)*100000)+('Ann 1'!$C$25*100000)</f>
        <v>1964230.769230769</v>
      </c>
      <c r="I45" s="59">
        <f>(SUM('Ann 13'!D33:D36)*100000)+('Ann 1'!$C$25*100000)</f>
        <v>1964230.7692307679</v>
      </c>
      <c r="J45" s="59">
        <f>(SUM('Ann 13'!D37:D37)*100000)+('Ann 1'!$C$25*100000)</f>
        <v>1225000</v>
      </c>
      <c r="K45" s="59">
        <f>(SUM('Ann 13'!D38:D39)*100000)+('Ann 1'!$C$25*100000)</f>
        <v>1225000</v>
      </c>
    </row>
    <row r="46" spans="1:11" x14ac:dyDescent="0.6">
      <c r="A46" s="31"/>
      <c r="B46" s="32" t="s">
        <v>8</v>
      </c>
      <c r="C46" s="59">
        <f>SUM(C44:C45)</f>
        <v>2002643.269230769</v>
      </c>
      <c r="D46" s="59">
        <f t="shared" ref="D46:K46" si="15">SUM(D44:D45)</f>
        <v>2336221.1538461535</v>
      </c>
      <c r="E46" s="62">
        <f t="shared" si="15"/>
        <v>2291867.3076923075</v>
      </c>
      <c r="F46" s="62">
        <f t="shared" si="15"/>
        <v>2247513.461538461</v>
      </c>
      <c r="G46" s="62">
        <f t="shared" si="15"/>
        <v>2203159.615384615</v>
      </c>
      <c r="H46" s="62">
        <f t="shared" si="15"/>
        <v>2158805.769230769</v>
      </c>
      <c r="I46" s="62">
        <f t="shared" si="15"/>
        <v>2114451.9230769216</v>
      </c>
      <c r="J46" s="62">
        <f t="shared" si="15"/>
        <v>1347500</v>
      </c>
      <c r="K46" s="62">
        <f t="shared" si="15"/>
        <v>1347500</v>
      </c>
    </row>
    <row r="47" spans="1:11" x14ac:dyDescent="0.6">
      <c r="A47" s="31"/>
      <c r="B47" s="32" t="s">
        <v>138</v>
      </c>
      <c r="C47" s="59">
        <f>'Ann 4'!C12</f>
        <v>1091972.1153846155</v>
      </c>
      <c r="D47" s="59">
        <f>'Ann 4'!D12</f>
        <v>1278009.6153846157</v>
      </c>
      <c r="E47" s="59">
        <f>'Ann 4'!E12</f>
        <v>1487363.461538462</v>
      </c>
      <c r="F47" s="59">
        <f>'Ann 4'!F12</f>
        <v>1713217.3076923084</v>
      </c>
      <c r="G47" s="59">
        <f>'Ann 4'!G12</f>
        <v>1957221.1538461549</v>
      </c>
      <c r="H47" s="59">
        <f>'Ann 4'!H12</f>
        <v>2221190.0000000014</v>
      </c>
      <c r="I47" s="59">
        <f>'Ann 4'!I12</f>
        <v>2507120.3461538483</v>
      </c>
      <c r="J47" s="59">
        <f>'Ann 4'!J12</f>
        <v>2800575.6500000022</v>
      </c>
      <c r="K47" s="59">
        <f>'Ann 4'!K12</f>
        <v>3092883.2150000026</v>
      </c>
    </row>
    <row r="48" spans="1:11" x14ac:dyDescent="0.6">
      <c r="A48" s="31"/>
      <c r="B48" s="32" t="s">
        <v>139</v>
      </c>
      <c r="C48" s="14">
        <f>C47/C46</f>
        <v>0.54526541604389211</v>
      </c>
      <c r="D48" s="14">
        <f t="shared" ref="D48:H48" si="16">D47/D46</f>
        <v>0.54704136775776158</v>
      </c>
      <c r="E48" s="15">
        <f t="shared" si="16"/>
        <v>0.64897450936463486</v>
      </c>
      <c r="F48" s="15">
        <f t="shared" si="16"/>
        <v>0.76227232317424354</v>
      </c>
      <c r="G48" s="15">
        <f t="shared" si="16"/>
        <v>0.88837011180620906</v>
      </c>
      <c r="H48" s="15">
        <f t="shared" si="16"/>
        <v>1.0288975653383867</v>
      </c>
      <c r="I48" s="16">
        <v>0</v>
      </c>
      <c r="J48" s="16">
        <v>0</v>
      </c>
      <c r="K48" s="16">
        <v>0</v>
      </c>
    </row>
    <row r="49" spans="1:11" ht="17.5" thickBot="1" x14ac:dyDescent="0.65">
      <c r="A49" s="118"/>
      <c r="B49" s="119" t="s">
        <v>143</v>
      </c>
      <c r="C49" s="120"/>
      <c r="D49" s="120"/>
      <c r="E49" s="121"/>
      <c r="F49" s="121">
        <f>AVERAGE(C48:G48)</f>
        <v>0.67838474562934825</v>
      </c>
      <c r="G49" s="121"/>
      <c r="H49" s="121"/>
      <c r="I49" s="122"/>
      <c r="J49" s="122"/>
      <c r="K49" s="122"/>
    </row>
    <row r="50" spans="1:11" ht="17.5" thickTop="1" x14ac:dyDescent="0.6"/>
    <row r="51" spans="1:11" x14ac:dyDescent="0.6">
      <c r="A51" s="8" t="s">
        <v>290</v>
      </c>
    </row>
    <row r="52" spans="1:11" x14ac:dyDescent="0.6">
      <c r="A52" s="8" t="s">
        <v>269</v>
      </c>
    </row>
  </sheetData>
  <mergeCells count="3">
    <mergeCell ref="A5:A6"/>
    <mergeCell ref="B5:B6"/>
    <mergeCell ref="C5:K5"/>
  </mergeCells>
  <pageMargins left="0.7" right="0.7" top="0.75" bottom="0.75" header="0.3" footer="0.3"/>
  <pageSetup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480-223F-4A3F-891A-2F2B726FC76B}">
  <dimension ref="A1:C17"/>
  <sheetViews>
    <sheetView workbookViewId="0">
      <selection activeCell="B18" sqref="B18"/>
    </sheetView>
  </sheetViews>
  <sheetFormatPr defaultRowHeight="14.5" x14ac:dyDescent="0.35"/>
  <cols>
    <col min="1" max="1" width="53.453125" bestFit="1" customWidth="1"/>
    <col min="2" max="2" width="13.6328125" bestFit="1" customWidth="1"/>
    <col min="3" max="3" width="11.1796875" bestFit="1" customWidth="1"/>
    <col min="4" max="4" width="12.54296875" bestFit="1" customWidth="1"/>
  </cols>
  <sheetData>
    <row r="1" spans="1:3" x14ac:dyDescent="0.35">
      <c r="A1" s="3" t="s">
        <v>211</v>
      </c>
    </row>
    <row r="3" spans="1:3" x14ac:dyDescent="0.35">
      <c r="A3" s="2" t="s">
        <v>214</v>
      </c>
    </row>
    <row r="5" spans="1:3" x14ac:dyDescent="0.35">
      <c r="A5" s="3" t="s">
        <v>212</v>
      </c>
    </row>
    <row r="6" spans="1:3" x14ac:dyDescent="0.35">
      <c r="A6" s="4" t="s">
        <v>220</v>
      </c>
    </row>
    <row r="7" spans="1:3" x14ac:dyDescent="0.35">
      <c r="A7" t="s">
        <v>213</v>
      </c>
      <c r="B7">
        <v>5</v>
      </c>
      <c r="C7" t="s">
        <v>217</v>
      </c>
    </row>
    <row r="8" spans="1:3" x14ac:dyDescent="0.35">
      <c r="A8" t="s">
        <v>215</v>
      </c>
      <c r="B8">
        <v>30</v>
      </c>
      <c r="C8" t="s">
        <v>218</v>
      </c>
    </row>
    <row r="9" spans="1:3" x14ac:dyDescent="0.35">
      <c r="A9" t="s">
        <v>216</v>
      </c>
      <c r="B9">
        <f>B8*3000*20/B7</f>
        <v>360000</v>
      </c>
      <c r="C9" t="s">
        <v>219</v>
      </c>
    </row>
    <row r="11" spans="1:3" x14ac:dyDescent="0.35">
      <c r="A11" s="4" t="s">
        <v>221</v>
      </c>
    </row>
    <row r="12" spans="1:3" x14ac:dyDescent="0.35">
      <c r="A12" s="4" t="s">
        <v>213</v>
      </c>
      <c r="B12">
        <v>0.5</v>
      </c>
      <c r="C12" t="s">
        <v>222</v>
      </c>
    </row>
    <row r="13" spans="1:3" x14ac:dyDescent="0.35">
      <c r="A13" s="4" t="s">
        <v>223</v>
      </c>
      <c r="B13">
        <f>B12*3000*30</f>
        <v>45000</v>
      </c>
      <c r="C13" t="s">
        <v>224</v>
      </c>
    </row>
    <row r="15" spans="1:3" x14ac:dyDescent="0.35">
      <c r="A15" t="s">
        <v>225</v>
      </c>
      <c r="B15">
        <f>B13+B9</f>
        <v>405000</v>
      </c>
    </row>
    <row r="16" spans="1:3" x14ac:dyDescent="0.35">
      <c r="A16" t="s">
        <v>226</v>
      </c>
      <c r="B16">
        <v>75</v>
      </c>
    </row>
    <row r="17" spans="1:2" x14ac:dyDescent="0.35">
      <c r="A17" t="s">
        <v>227</v>
      </c>
      <c r="B17" s="6">
        <f>B15*B16</f>
        <v>30375000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sheetPr>
    <pageSetUpPr fitToPage="1"/>
  </sheetPr>
  <dimension ref="A1:F20"/>
  <sheetViews>
    <sheetView topLeftCell="A2" workbookViewId="0">
      <selection activeCell="E18" sqref="E18"/>
    </sheetView>
  </sheetViews>
  <sheetFormatPr defaultRowHeight="17" x14ac:dyDescent="0.6"/>
  <cols>
    <col min="1" max="1" width="5.6328125" style="8" bestFit="1" customWidth="1"/>
    <col min="2" max="2" width="26.08984375" style="8" bestFit="1" customWidth="1"/>
    <col min="3" max="3" width="8.7265625" style="8"/>
    <col min="4" max="4" width="25" style="8" bestFit="1" customWidth="1"/>
    <col min="5" max="5" width="12.54296875" style="8" bestFit="1" customWidth="1"/>
    <col min="6" max="16384" width="8.7265625" style="8"/>
  </cols>
  <sheetData>
    <row r="1" spans="1:6" x14ac:dyDescent="0.6">
      <c r="A1" s="7" t="s">
        <v>147</v>
      </c>
    </row>
    <row r="3" spans="1:6" x14ac:dyDescent="0.6">
      <c r="A3" s="72" t="s">
        <v>148</v>
      </c>
    </row>
    <row r="5" spans="1:6" x14ac:dyDescent="0.6">
      <c r="A5" s="12" t="s">
        <v>50</v>
      </c>
      <c r="B5" s="12" t="s">
        <v>51</v>
      </c>
      <c r="C5" s="12" t="s">
        <v>52</v>
      </c>
      <c r="D5" s="12" t="s">
        <v>53</v>
      </c>
      <c r="E5" s="12" t="s">
        <v>208</v>
      </c>
    </row>
    <row r="6" spans="1:6" x14ac:dyDescent="0.6">
      <c r="A6" s="50" t="s">
        <v>54</v>
      </c>
      <c r="B6" s="50" t="s">
        <v>236</v>
      </c>
      <c r="C6" s="50">
        <v>1</v>
      </c>
      <c r="D6" s="49">
        <v>25000</v>
      </c>
      <c r="E6" s="49">
        <f>D6*C6*12</f>
        <v>300000</v>
      </c>
    </row>
    <row r="7" spans="1:6" x14ac:dyDescent="0.6">
      <c r="A7" s="9" t="s">
        <v>55</v>
      </c>
      <c r="B7" s="9" t="s">
        <v>237</v>
      </c>
      <c r="C7" s="9">
        <v>1</v>
      </c>
      <c r="D7" s="49">
        <v>20000</v>
      </c>
      <c r="E7" s="49">
        <f>D7*C7*12</f>
        <v>240000</v>
      </c>
    </row>
    <row r="8" spans="1:6" x14ac:dyDescent="0.6">
      <c r="A8" s="9" t="s">
        <v>58</v>
      </c>
      <c r="B8" s="9" t="s">
        <v>238</v>
      </c>
      <c r="C8" s="9">
        <v>5</v>
      </c>
      <c r="D8" s="49">
        <v>10000</v>
      </c>
      <c r="E8" s="49">
        <f>D8*C8*12</f>
        <v>600000</v>
      </c>
    </row>
    <row r="9" spans="1:6" x14ac:dyDescent="0.6">
      <c r="A9" s="9" t="s">
        <v>207</v>
      </c>
      <c r="B9" s="9" t="s">
        <v>149</v>
      </c>
      <c r="C9" s="9">
        <v>2</v>
      </c>
      <c r="D9" s="49">
        <v>6000</v>
      </c>
      <c r="E9" s="49">
        <f>D9*C9*12</f>
        <v>144000</v>
      </c>
    </row>
    <row r="10" spans="1:6" x14ac:dyDescent="0.6">
      <c r="A10" s="9" t="s">
        <v>239</v>
      </c>
      <c r="B10" s="9" t="s">
        <v>240</v>
      </c>
      <c r="C10" s="9">
        <v>5</v>
      </c>
      <c r="D10" s="49"/>
      <c r="E10" s="49">
        <f>400*300*C10</f>
        <v>600000</v>
      </c>
      <c r="F10" s="8" t="s">
        <v>263</v>
      </c>
    </row>
    <row r="11" spans="1:6" x14ac:dyDescent="0.6">
      <c r="A11" s="127" t="s">
        <v>8</v>
      </c>
      <c r="B11" s="127"/>
      <c r="C11" s="127"/>
      <c r="D11" s="127"/>
      <c r="E11" s="73">
        <f>SUM(E6:E10)</f>
        <v>1884000</v>
      </c>
    </row>
    <row r="12" spans="1:6" x14ac:dyDescent="0.6">
      <c r="A12" s="37"/>
      <c r="B12" s="74"/>
      <c r="C12" s="74"/>
      <c r="D12" s="74"/>
      <c r="E12" s="55"/>
    </row>
    <row r="13" spans="1:6" x14ac:dyDescent="0.6">
      <c r="A13" s="64" t="s">
        <v>241</v>
      </c>
      <c r="B13" s="65"/>
      <c r="C13" s="65"/>
      <c r="D13" s="65"/>
      <c r="E13" s="75">
        <f>E11*10%</f>
        <v>188400</v>
      </c>
    </row>
    <row r="14" spans="1:6" x14ac:dyDescent="0.6">
      <c r="A14" s="35" t="s">
        <v>8</v>
      </c>
      <c r="B14" s="36"/>
      <c r="C14" s="36"/>
      <c r="D14" s="36"/>
      <c r="E14" s="76">
        <f>SUM(E11:E13)</f>
        <v>2072400</v>
      </c>
    </row>
    <row r="16" spans="1:6" x14ac:dyDescent="0.6">
      <c r="A16" s="8" t="s">
        <v>56</v>
      </c>
      <c r="E16" s="45">
        <f>E14</f>
        <v>2072400</v>
      </c>
    </row>
    <row r="17" spans="1:5" x14ac:dyDescent="0.6">
      <c r="A17" s="8" t="s">
        <v>57</v>
      </c>
      <c r="E17" s="77">
        <v>7.0000000000000007E-2</v>
      </c>
    </row>
    <row r="18" spans="1:5" x14ac:dyDescent="0.6">
      <c r="A18" s="8" t="s">
        <v>150</v>
      </c>
      <c r="E18" s="8">
        <f>SUM(C6:C10)</f>
        <v>14</v>
      </c>
    </row>
    <row r="20" spans="1:5" x14ac:dyDescent="0.6">
      <c r="A20" s="8" t="s">
        <v>264</v>
      </c>
    </row>
  </sheetData>
  <mergeCells count="1">
    <mergeCell ref="A11:D1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dimension ref="A1:F22"/>
  <sheetViews>
    <sheetView topLeftCell="A5" workbookViewId="0">
      <selection activeCell="C6" sqref="C6"/>
    </sheetView>
  </sheetViews>
  <sheetFormatPr defaultRowHeight="17" x14ac:dyDescent="0.6"/>
  <cols>
    <col min="1" max="1" width="6.36328125" style="8" bestFit="1" customWidth="1"/>
    <col min="2" max="2" width="18.81640625" style="8" bestFit="1" customWidth="1"/>
    <col min="3" max="3" width="19.453125" style="8" bestFit="1" customWidth="1"/>
    <col min="4" max="4" width="18.08984375" style="8" bestFit="1" customWidth="1"/>
    <col min="5" max="5" width="14.453125" style="8" bestFit="1" customWidth="1"/>
    <col min="6" max="6" width="26.453125" style="8" bestFit="1" customWidth="1"/>
    <col min="7" max="16384" width="8.7265625" style="8"/>
  </cols>
  <sheetData>
    <row r="1" spans="1:6" x14ac:dyDescent="0.6">
      <c r="A1" s="7" t="s">
        <v>60</v>
      </c>
    </row>
    <row r="3" spans="1:6" x14ac:dyDescent="0.6">
      <c r="A3" s="72" t="s">
        <v>59</v>
      </c>
    </row>
    <row r="5" spans="1:6" x14ac:dyDescent="0.6">
      <c r="A5" s="12" t="s">
        <v>24</v>
      </c>
      <c r="B5" s="12" t="s">
        <v>3</v>
      </c>
      <c r="C5" s="12" t="s">
        <v>63</v>
      </c>
      <c r="D5" s="12" t="s">
        <v>11</v>
      </c>
      <c r="E5" s="12" t="s">
        <v>64</v>
      </c>
      <c r="F5" s="12" t="s">
        <v>65</v>
      </c>
    </row>
    <row r="6" spans="1:6" x14ac:dyDescent="0.6">
      <c r="A6" s="9" t="s">
        <v>54</v>
      </c>
      <c r="B6" s="9" t="s">
        <v>13</v>
      </c>
      <c r="C6" s="49">
        <f>'Ann 1'!C15*100000</f>
        <v>0</v>
      </c>
      <c r="D6" s="49">
        <f>('Ann 1'!C20+'Ann 1'!C37)*100000</f>
        <v>5475000</v>
      </c>
      <c r="E6" s="49">
        <v>0</v>
      </c>
      <c r="F6" s="78">
        <f>SUM(C6:E6)/100000</f>
        <v>54.75</v>
      </c>
    </row>
    <row r="7" spans="1:6" x14ac:dyDescent="0.6">
      <c r="A7" s="9" t="s">
        <v>55</v>
      </c>
      <c r="B7" s="9" t="s">
        <v>61</v>
      </c>
      <c r="C7" s="49">
        <v>0</v>
      </c>
      <c r="D7" s="49">
        <v>0</v>
      </c>
      <c r="E7" s="49">
        <v>0</v>
      </c>
      <c r="F7" s="79">
        <f>SUM(C7:E7)/100000</f>
        <v>0</v>
      </c>
    </row>
    <row r="8" spans="1:6" x14ac:dyDescent="0.6">
      <c r="A8" s="9" t="s">
        <v>58</v>
      </c>
      <c r="B8" s="9" t="s">
        <v>62</v>
      </c>
      <c r="C8" s="49">
        <v>0</v>
      </c>
      <c r="D8" s="49">
        <v>0</v>
      </c>
      <c r="E8" s="49">
        <f>'Ann 1'!C39*100000</f>
        <v>0</v>
      </c>
      <c r="F8" s="79">
        <f>SUM(C8:E8)/100000</f>
        <v>0</v>
      </c>
    </row>
    <row r="9" spans="1:6" x14ac:dyDescent="0.6">
      <c r="A9" s="9"/>
      <c r="B9" s="127" t="s">
        <v>8</v>
      </c>
      <c r="C9" s="127"/>
      <c r="D9" s="127"/>
      <c r="E9" s="127"/>
      <c r="F9" s="78">
        <f>SUM(F6:F8)</f>
        <v>54.75</v>
      </c>
    </row>
    <row r="11" spans="1:6" x14ac:dyDescent="0.6">
      <c r="A11" s="80"/>
      <c r="B11" s="80" t="s">
        <v>66</v>
      </c>
      <c r="C11" s="81">
        <v>0.1</v>
      </c>
      <c r="D11" s="81">
        <v>0.15</v>
      </c>
      <c r="E11" s="81">
        <v>0.1</v>
      </c>
      <c r="F11" s="80" t="s">
        <v>161</v>
      </c>
    </row>
    <row r="12" spans="1:6" x14ac:dyDescent="0.6">
      <c r="A12" s="82" t="s">
        <v>67</v>
      </c>
      <c r="B12" s="83">
        <v>1</v>
      </c>
      <c r="C12" s="84">
        <f>C11*C6</f>
        <v>0</v>
      </c>
      <c r="D12" s="84">
        <f>D11*D6</f>
        <v>821250</v>
      </c>
      <c r="E12" s="84">
        <f>E11*(E6+E8)</f>
        <v>0</v>
      </c>
      <c r="F12" s="84">
        <f>SUM(C12:E12)</f>
        <v>821250</v>
      </c>
    </row>
    <row r="13" spans="1:6" x14ac:dyDescent="0.6">
      <c r="A13" s="82" t="s">
        <v>67</v>
      </c>
      <c r="B13" s="83">
        <v>2</v>
      </c>
      <c r="C13" s="84">
        <f>(C6-C12)*C11</f>
        <v>0</v>
      </c>
      <c r="D13" s="84">
        <f>(D6-D12)*D11</f>
        <v>698062.5</v>
      </c>
      <c r="E13" s="84">
        <f>(E6+E8-E12)*E11</f>
        <v>0</v>
      </c>
      <c r="F13" s="84">
        <f>SUM(C13:E13)</f>
        <v>698062.5</v>
      </c>
    </row>
    <row r="14" spans="1:6" x14ac:dyDescent="0.6">
      <c r="A14" s="82" t="s">
        <v>67</v>
      </c>
      <c r="B14" s="83">
        <v>3</v>
      </c>
      <c r="C14" s="84">
        <f>(C6-C12-C13)*C11</f>
        <v>0</v>
      </c>
      <c r="D14" s="84">
        <f>(D6-D12-D13)*D11</f>
        <v>593353.125</v>
      </c>
      <c r="E14" s="84">
        <f>(E6+E8-E12-E13)*E11</f>
        <v>0</v>
      </c>
      <c r="F14" s="84">
        <f t="shared" ref="F14:F20" si="0">SUM(C14:E14)</f>
        <v>593353.125</v>
      </c>
    </row>
    <row r="15" spans="1:6" x14ac:dyDescent="0.6">
      <c r="A15" s="82" t="s">
        <v>67</v>
      </c>
      <c r="B15" s="83">
        <v>4</v>
      </c>
      <c r="C15" s="84">
        <f>(C6-C12-C13-C14)*C11</f>
        <v>0</v>
      </c>
      <c r="D15" s="84">
        <f>(D6-D12-D13-D14)*D11</f>
        <v>504350.15625</v>
      </c>
      <c r="E15" s="84">
        <f>(E6+E8-E12-E13-E14)*E11</f>
        <v>0</v>
      </c>
      <c r="F15" s="84">
        <f t="shared" si="0"/>
        <v>504350.15625</v>
      </c>
    </row>
    <row r="16" spans="1:6" x14ac:dyDescent="0.6">
      <c r="A16" s="82" t="s">
        <v>67</v>
      </c>
      <c r="B16" s="83">
        <v>5</v>
      </c>
      <c r="C16" s="84">
        <f>(C6-C12-C13-C14-C15)*C11</f>
        <v>0</v>
      </c>
      <c r="D16" s="84">
        <f>(D6-D12-D13-D14-D15)*D11</f>
        <v>428697.6328125</v>
      </c>
      <c r="E16" s="84">
        <f>(E6+E8-E12-E13-E14-E15)*E11</f>
        <v>0</v>
      </c>
      <c r="F16" s="84">
        <f t="shared" si="0"/>
        <v>428697.6328125</v>
      </c>
    </row>
    <row r="17" spans="1:6" x14ac:dyDescent="0.6">
      <c r="A17" s="82" t="s">
        <v>67</v>
      </c>
      <c r="B17" s="83">
        <v>6</v>
      </c>
      <c r="C17" s="84">
        <f>(C6-C12-C13-C14-C15-C16)*C11</f>
        <v>0</v>
      </c>
      <c r="D17" s="84">
        <f>(D6-D12-D13-D14-D15-D16)*D11</f>
        <v>364392.98789062497</v>
      </c>
      <c r="E17" s="84">
        <f>(E6+E8-E12-E13-E14-E15-E16)*E11</f>
        <v>0</v>
      </c>
      <c r="F17" s="84">
        <f t="shared" si="0"/>
        <v>364392.98789062497</v>
      </c>
    </row>
    <row r="18" spans="1:6" x14ac:dyDescent="0.6">
      <c r="A18" s="82" t="s">
        <v>67</v>
      </c>
      <c r="B18" s="83">
        <v>7</v>
      </c>
      <c r="C18" s="84">
        <f>(C6-C12-C13-C14-C15-C16-C17)*C11</f>
        <v>0</v>
      </c>
      <c r="D18" s="84">
        <f>(D6-D12-D13-D14-D15-D16-D17)*D11</f>
        <v>309734.03970703128</v>
      </c>
      <c r="E18" s="84">
        <f>(E6+E8-E12-E13-E14-E15-E16-E17)*E11</f>
        <v>0</v>
      </c>
      <c r="F18" s="84">
        <f t="shared" si="0"/>
        <v>309734.03970703128</v>
      </c>
    </row>
    <row r="19" spans="1:6" x14ac:dyDescent="0.6">
      <c r="A19" s="82" t="s">
        <v>67</v>
      </c>
      <c r="B19" s="83">
        <v>8</v>
      </c>
      <c r="C19" s="84">
        <f>(C6-C12-C13-C14-C15-C16-C17-C18)*C11</f>
        <v>0</v>
      </c>
      <c r="D19" s="84">
        <f>(D6-D12-D13-D14-D15-D16-D17-D18)*D11</f>
        <v>263273.93375097658</v>
      </c>
      <c r="E19" s="84">
        <f>(E6+E8-E12-E13-E14-E15-E16-E17-E18)*E11</f>
        <v>0</v>
      </c>
      <c r="F19" s="84">
        <f t="shared" si="0"/>
        <v>263273.93375097658</v>
      </c>
    </row>
    <row r="20" spans="1:6" x14ac:dyDescent="0.6">
      <c r="A20" s="82" t="s">
        <v>67</v>
      </c>
      <c r="B20" s="83">
        <v>9</v>
      </c>
      <c r="C20" s="84">
        <f>(C6-C12-C13-C14-C15-C16-C17-C18-C19)*C11</f>
        <v>0</v>
      </c>
      <c r="D20" s="84">
        <f>(D6-D12-D13-D14-D15-D16-D17-D18-D19)*D11</f>
        <v>223782.84368833006</v>
      </c>
      <c r="E20" s="84">
        <f>(E6+E8-E12-E13-E14-E15-E16-E17-E18-E19)*E11</f>
        <v>0</v>
      </c>
      <c r="F20" s="84">
        <f t="shared" si="0"/>
        <v>223782.84368833006</v>
      </c>
    </row>
    <row r="21" spans="1:6" x14ac:dyDescent="0.6">
      <c r="B21" s="25"/>
    </row>
    <row r="22" spans="1:6" x14ac:dyDescent="0.6">
      <c r="A22" s="85"/>
    </row>
  </sheetData>
  <mergeCells count="1">
    <mergeCell ref="B9:E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Ann 1</vt:lpstr>
      <vt:lpstr>Ann 2</vt:lpstr>
      <vt:lpstr>Ann 3</vt:lpstr>
      <vt:lpstr>Ann 4</vt:lpstr>
      <vt:lpstr>Ann 5</vt:lpstr>
      <vt:lpstr>Ann 6</vt:lpstr>
      <vt:lpstr>Ann 8</vt:lpstr>
      <vt:lpstr>Ann 9</vt:lpstr>
      <vt:lpstr>Ann 10</vt:lpstr>
      <vt:lpstr>Ann 11</vt:lpstr>
      <vt:lpstr>Ann 12</vt:lpstr>
      <vt:lpstr>Ann 13</vt:lpstr>
      <vt:lpstr>Ann 14</vt:lpstr>
      <vt:lpstr>Budgets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2021-09-23T07:08:52Z</cp:lastPrinted>
  <dcterms:created xsi:type="dcterms:W3CDTF">2021-07-04T07:21:16Z</dcterms:created>
  <dcterms:modified xsi:type="dcterms:W3CDTF">2021-10-22T06:21:15Z</dcterms:modified>
</cp:coreProperties>
</file>