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19. APMC\"/>
    </mc:Choice>
  </mc:AlternateContent>
  <xr:revisionPtr revIDLastSave="0" documentId="13_ncr:1_{1A47029D-817C-4F51-A4CC-C907E2056A60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18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6" sheetId="6" state="hidden" r:id="rId7"/>
    <sheet name="Ann 7" sheetId="8" state="hidden" r:id="rId8"/>
    <sheet name="Ann 8" sheetId="9" state="hidden" r:id="rId9"/>
    <sheet name="Ann 9" sheetId="10" r:id="rId10"/>
    <sheet name="Ann 10" sheetId="13" r:id="rId11"/>
    <sheet name="Ann 11" sheetId="11" state="hidden" r:id="rId12"/>
    <sheet name="Ann 12" sheetId="12" state="hidden" r:id="rId13"/>
    <sheet name="Ann 13" sheetId="14" r:id="rId14"/>
    <sheet name="Ann 14" sheetId="19" r:id="rId15"/>
    <sheet name="Budgets" sheetId="5" r:id="rId16"/>
    <sheet name="Assumptions" sheetId="17" r:id="rId17"/>
    <sheet name="For word file" sheetId="16" r:id="rId18"/>
    <sheet name="Sheet1" sheetId="15" state="hidden" r:id="rId19"/>
  </sheets>
  <externalReferences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9" l="1"/>
  <c r="C19" i="19"/>
  <c r="C17" i="19"/>
  <c r="K23" i="19"/>
  <c r="J23" i="19"/>
  <c r="I23" i="19"/>
  <c r="H23" i="19"/>
  <c r="G23" i="19"/>
  <c r="F23" i="19"/>
  <c r="E23" i="19"/>
  <c r="D23" i="19"/>
  <c r="C23" i="19"/>
  <c r="G21" i="3" l="1"/>
  <c r="C12" i="4" l="1"/>
  <c r="C5" i="5"/>
  <c r="D5" i="5" s="1"/>
  <c r="E5" i="5" s="1"/>
  <c r="F5" i="5" s="1"/>
  <c r="G5" i="5" s="1"/>
  <c r="H12" i="4" s="1"/>
  <c r="G16" i="3"/>
  <c r="G11" i="3"/>
  <c r="G5" i="3"/>
  <c r="G6" i="3" s="1"/>
  <c r="G12" i="3"/>
  <c r="G15" i="3"/>
  <c r="G14" i="3"/>
  <c r="G13" i="3"/>
  <c r="G10" i="3"/>
  <c r="G9" i="3"/>
  <c r="G24" i="3" s="1"/>
  <c r="C7" i="2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H7" i="4" l="1"/>
  <c r="H21" i="7" s="1"/>
  <c r="I9" i="19" s="1"/>
  <c r="H12" i="7"/>
  <c r="I10" i="19" s="1"/>
  <c r="H8" i="19"/>
  <c r="E23" i="7"/>
  <c r="D17" i="4"/>
  <c r="C17" i="4"/>
  <c r="B4" i="19"/>
  <c r="E17" i="4"/>
  <c r="F17" i="4"/>
  <c r="G17" i="4"/>
  <c r="H17" i="4"/>
  <c r="I17" i="4"/>
  <c r="J17" i="4"/>
  <c r="J13" i="19" s="1"/>
  <c r="K17" i="4"/>
  <c r="K13" i="19" s="1"/>
  <c r="C7" i="4"/>
  <c r="C21" i="7" s="1"/>
  <c r="D9" i="19" s="1"/>
  <c r="C8" i="19"/>
  <c r="C12" i="7"/>
  <c r="D10" i="19" s="1"/>
  <c r="C23" i="7"/>
  <c r="C16" i="1"/>
  <c r="C17" i="1" s="1"/>
  <c r="F12" i="4"/>
  <c r="H5" i="5"/>
  <c r="I5" i="5" s="1"/>
  <c r="J5" i="5" s="1"/>
  <c r="K12" i="4" s="1"/>
  <c r="D12" i="4"/>
  <c r="E12" i="4"/>
  <c r="G12" i="4"/>
  <c r="K23" i="7"/>
  <c r="K33" i="7" s="1"/>
  <c r="J23" i="7"/>
  <c r="J33" i="7" s="1"/>
  <c r="D23" i="7"/>
  <c r="I23" i="7"/>
  <c r="H23" i="7"/>
  <c r="G23" i="7"/>
  <c r="F23" i="7"/>
  <c r="E22" i="11"/>
  <c r="D22" i="11"/>
  <c r="G10" i="14"/>
  <c r="E12" i="10"/>
  <c r="C46" i="7"/>
  <c r="F5" i="11"/>
  <c r="E18" i="11"/>
  <c r="E21" i="11" s="1"/>
  <c r="D18" i="11"/>
  <c r="D21" i="11" s="1"/>
  <c r="J18" i="4"/>
  <c r="J45" i="7" s="1"/>
  <c r="J47" i="7" s="1"/>
  <c r="E24" i="11"/>
  <c r="B12" i="6"/>
  <c r="B15" i="6" s="1"/>
  <c r="B18" i="6" s="1"/>
  <c r="D18" i="6" s="1"/>
  <c r="E20" i="11"/>
  <c r="D20" i="11"/>
  <c r="C32" i="1"/>
  <c r="C21" i="4" s="1"/>
  <c r="B12" i="19" s="1"/>
  <c r="F8" i="10"/>
  <c r="F7" i="10"/>
  <c r="E16" i="9"/>
  <c r="E15" i="8"/>
  <c r="E8" i="9"/>
  <c r="E7" i="9"/>
  <c r="E6" i="9"/>
  <c r="E7" i="8"/>
  <c r="E6" i="8"/>
  <c r="D19" i="6"/>
  <c r="B19" i="6"/>
  <c r="B13" i="6"/>
  <c r="B10" i="6"/>
  <c r="C6" i="10"/>
  <c r="C9" i="1"/>
  <c r="G7" i="4" l="1"/>
  <c r="G21" i="7" s="1"/>
  <c r="H9" i="19" s="1"/>
  <c r="G12" i="7"/>
  <c r="H10" i="19" s="1"/>
  <c r="G8" i="19"/>
  <c r="D7" i="4"/>
  <c r="D21" i="7" s="1"/>
  <c r="E9" i="19" s="1"/>
  <c r="D8" i="19"/>
  <c r="D12" i="7"/>
  <c r="E10" i="19" s="1"/>
  <c r="K7" i="4"/>
  <c r="K21" i="7" s="1"/>
  <c r="K12" i="7"/>
  <c r="K8" i="19" s="1"/>
  <c r="E7" i="4"/>
  <c r="E21" i="7" s="1"/>
  <c r="F9" i="19" s="1"/>
  <c r="E12" i="7"/>
  <c r="F10" i="19" s="1"/>
  <c r="E8" i="19"/>
  <c r="F7" i="4"/>
  <c r="F21" i="7" s="1"/>
  <c r="G9" i="19" s="1"/>
  <c r="F12" i="7"/>
  <c r="G10" i="19" s="1"/>
  <c r="F8" i="19"/>
  <c r="D20" i="6"/>
  <c r="K18" i="4"/>
  <c r="K45" i="7" s="1"/>
  <c r="K47" i="7" s="1"/>
  <c r="I12" i="4"/>
  <c r="J12" i="4"/>
  <c r="B3" i="16"/>
  <c r="C8" i="4"/>
  <c r="C11" i="4" s="1"/>
  <c r="C11" i="19" s="1"/>
  <c r="D6" i="10"/>
  <c r="D12" i="10" s="1"/>
  <c r="D13" i="10" s="1"/>
  <c r="G26" i="3"/>
  <c r="C3" i="15"/>
  <c r="K40" i="7"/>
  <c r="J40" i="7"/>
  <c r="I40" i="7"/>
  <c r="I33" i="7"/>
  <c r="C12" i="10"/>
  <c r="C12" i="1"/>
  <c r="C13" i="1" s="1"/>
  <c r="C34" i="1" s="1"/>
  <c r="C8" i="2" s="1"/>
  <c r="C4" i="2" s="1"/>
  <c r="B5" i="19" s="1"/>
  <c r="E13" i="10"/>
  <c r="D24" i="11"/>
  <c r="D25" i="11" s="1"/>
  <c r="D26" i="11" s="1"/>
  <c r="D28" i="11" s="1"/>
  <c r="K6" i="12"/>
  <c r="H6" i="12"/>
  <c r="E6" i="12"/>
  <c r="D6" i="12"/>
  <c r="F6" i="12"/>
  <c r="F8" i="4"/>
  <c r="F11" i="4" s="1"/>
  <c r="F11" i="19" s="1"/>
  <c r="H8" i="4"/>
  <c r="H11" i="4" s="1"/>
  <c r="H11" i="19" s="1"/>
  <c r="G8" i="4"/>
  <c r="G11" i="4" s="1"/>
  <c r="G11" i="19" s="1"/>
  <c r="E8" i="4"/>
  <c r="E11" i="4" s="1"/>
  <c r="E11" i="19" s="1"/>
  <c r="E9" i="9"/>
  <c r="E11" i="9" s="1"/>
  <c r="E12" i="9" s="1"/>
  <c r="E14" i="9" s="1"/>
  <c r="E8" i="8"/>
  <c r="E10" i="8" s="1"/>
  <c r="E11" i="8" s="1"/>
  <c r="E13" i="8" s="1"/>
  <c r="E25" i="11"/>
  <c r="E26" i="11" s="1"/>
  <c r="E28" i="11" s="1"/>
  <c r="F7" i="11"/>
  <c r="I6" i="12"/>
  <c r="D8" i="4" l="1"/>
  <c r="D11" i="4" s="1"/>
  <c r="D11" i="19" s="1"/>
  <c r="C7" i="15"/>
  <c r="B7" i="19"/>
  <c r="B26" i="19" s="1"/>
  <c r="B27" i="19" s="1"/>
  <c r="J7" i="4"/>
  <c r="J21" i="7" s="1"/>
  <c r="K9" i="19" s="1"/>
  <c r="J12" i="7"/>
  <c r="K10" i="19" s="1"/>
  <c r="J8" i="19"/>
  <c r="I7" i="4"/>
  <c r="I12" i="7"/>
  <c r="J10" i="19" s="1"/>
  <c r="C13" i="10"/>
  <c r="F13" i="10" s="1"/>
  <c r="F12" i="10"/>
  <c r="F6" i="10"/>
  <c r="F9" i="10" s="1"/>
  <c r="D14" i="10"/>
  <c r="D15" i="10" s="1"/>
  <c r="D16" i="10" s="1"/>
  <c r="D17" i="10" s="1"/>
  <c r="C22" i="4"/>
  <c r="C9" i="7"/>
  <c r="H3" i="16"/>
  <c r="I3" i="15"/>
  <c r="G5" i="12"/>
  <c r="G28" i="7"/>
  <c r="C3" i="16"/>
  <c r="D3" i="15"/>
  <c r="E5" i="12"/>
  <c r="E28" i="7"/>
  <c r="F3" i="16"/>
  <c r="G3" i="15"/>
  <c r="G3" i="16"/>
  <c r="H3" i="15"/>
  <c r="K28" i="7"/>
  <c r="D28" i="7"/>
  <c r="D3" i="16"/>
  <c r="E3" i="15"/>
  <c r="E3" i="16"/>
  <c r="F3" i="15"/>
  <c r="I28" i="7"/>
  <c r="F5" i="12"/>
  <c r="F28" i="7"/>
  <c r="H28" i="7"/>
  <c r="C6" i="2"/>
  <c r="D4" i="14" s="1"/>
  <c r="C17" i="7"/>
  <c r="B10" i="13"/>
  <c r="C10" i="7"/>
  <c r="E14" i="10"/>
  <c r="H5" i="12"/>
  <c r="C6" i="12"/>
  <c r="J6" i="12"/>
  <c r="F9" i="11"/>
  <c r="D5" i="12"/>
  <c r="I5" i="12"/>
  <c r="C5" i="12"/>
  <c r="G6" i="12"/>
  <c r="K5" i="12"/>
  <c r="F28" i="11"/>
  <c r="I8" i="4" l="1"/>
  <c r="I11" i="4" s="1"/>
  <c r="I21" i="7"/>
  <c r="J9" i="19" s="1"/>
  <c r="D13" i="14"/>
  <c r="B6" i="19"/>
  <c r="I8" i="19"/>
  <c r="C10" i="13"/>
  <c r="D10" i="7"/>
  <c r="C14" i="10"/>
  <c r="D10" i="13" s="1"/>
  <c r="D22" i="4"/>
  <c r="C11" i="7"/>
  <c r="D9" i="7" s="1"/>
  <c r="J5" i="12"/>
  <c r="J28" i="7"/>
  <c r="C28" i="7"/>
  <c r="C13" i="14"/>
  <c r="C9" i="14"/>
  <c r="E9" i="14" s="1"/>
  <c r="C12" i="14"/>
  <c r="C22" i="7" s="1"/>
  <c r="C10" i="14"/>
  <c r="E10" i="14" s="1"/>
  <c r="C11" i="14"/>
  <c r="E11" i="14" s="1"/>
  <c r="E15" i="10"/>
  <c r="D18" i="10"/>
  <c r="B24" i="19" l="1"/>
  <c r="B20" i="19"/>
  <c r="C4" i="19" s="1"/>
  <c r="C24" i="19" s="1"/>
  <c r="C25" i="19" s="1"/>
  <c r="D14" i="14"/>
  <c r="D15" i="14" s="1"/>
  <c r="D16" i="14" s="1"/>
  <c r="D17" i="14" s="1"/>
  <c r="I11" i="19"/>
  <c r="C14" i="14"/>
  <c r="E14" i="14" s="1"/>
  <c r="E10" i="7"/>
  <c r="E22" i="4"/>
  <c r="D11" i="7"/>
  <c r="D39" i="7" s="1"/>
  <c r="C15" i="10"/>
  <c r="E10" i="13" s="1"/>
  <c r="F14" i="10"/>
  <c r="D46" i="7"/>
  <c r="D18" i="14"/>
  <c r="D19" i="14" s="1"/>
  <c r="D20" i="14" s="1"/>
  <c r="D21" i="14" s="1"/>
  <c r="C39" i="7"/>
  <c r="C15" i="14"/>
  <c r="C16" i="14" s="1"/>
  <c r="C13" i="4"/>
  <c r="C48" i="7" s="1"/>
  <c r="B4" i="16"/>
  <c r="B5" i="16" s="1"/>
  <c r="B6" i="16" s="1"/>
  <c r="E13" i="14"/>
  <c r="E12" i="14"/>
  <c r="C16" i="4" s="1"/>
  <c r="C33" i="7"/>
  <c r="C40" i="7"/>
  <c r="E16" i="10"/>
  <c r="D19" i="10"/>
  <c r="D20" i="10" s="1"/>
  <c r="F19" i="19" l="1"/>
  <c r="E19" i="19"/>
  <c r="D19" i="19"/>
  <c r="C18" i="4"/>
  <c r="C20" i="4" s="1"/>
  <c r="C13" i="19"/>
  <c r="C14" i="19" s="1"/>
  <c r="B25" i="19"/>
  <c r="B30" i="19" s="1"/>
  <c r="B29" i="19"/>
  <c r="F22" i="4"/>
  <c r="E9" i="7"/>
  <c r="E11" i="7" s="1"/>
  <c r="F9" i="7" s="1"/>
  <c r="F10" i="7"/>
  <c r="C16" i="10"/>
  <c r="C17" i="10" s="1"/>
  <c r="F15" i="10"/>
  <c r="E46" i="7"/>
  <c r="D22" i="14"/>
  <c r="D23" i="14" s="1"/>
  <c r="D24" i="14" s="1"/>
  <c r="D25" i="14" s="1"/>
  <c r="C41" i="7"/>
  <c r="E15" i="14"/>
  <c r="D13" i="4"/>
  <c r="D48" i="7" s="1"/>
  <c r="C45" i="7"/>
  <c r="C47" i="7" s="1"/>
  <c r="C49" i="7" s="1"/>
  <c r="D22" i="7"/>
  <c r="E16" i="14"/>
  <c r="C17" i="14"/>
  <c r="E17" i="10"/>
  <c r="G22" i="4" l="1"/>
  <c r="G10" i="7"/>
  <c r="F10" i="13"/>
  <c r="E39" i="7"/>
  <c r="F11" i="7"/>
  <c r="F39" i="7" s="1"/>
  <c r="C18" i="10"/>
  <c r="F17" i="10"/>
  <c r="F16" i="10"/>
  <c r="F46" i="7"/>
  <c r="D26" i="14"/>
  <c r="D27" i="14" s="1"/>
  <c r="D28" i="14" s="1"/>
  <c r="D29" i="14" s="1"/>
  <c r="D16" i="4"/>
  <c r="C4" i="16"/>
  <c r="C5" i="16" s="1"/>
  <c r="C6" i="16" s="1"/>
  <c r="E13" i="4"/>
  <c r="E48" i="7" s="1"/>
  <c r="D4" i="16"/>
  <c r="D5" i="16" s="1"/>
  <c r="D6" i="16" s="1"/>
  <c r="C23" i="4"/>
  <c r="B7" i="13"/>
  <c r="B9" i="13" s="1"/>
  <c r="B11" i="13" s="1"/>
  <c r="B13" i="13" s="1"/>
  <c r="B14" i="13" s="1"/>
  <c r="C24" i="4" s="1"/>
  <c r="C15" i="19" s="1"/>
  <c r="G10" i="13"/>
  <c r="H10" i="7"/>
  <c r="H22" i="4"/>
  <c r="C18" i="14"/>
  <c r="E17" i="14"/>
  <c r="D33" i="7"/>
  <c r="D40" i="7"/>
  <c r="D41" i="7" s="1"/>
  <c r="E18" i="10"/>
  <c r="G19" i="19" l="1"/>
  <c r="D18" i="4"/>
  <c r="D45" i="7" s="1"/>
  <c r="D47" i="7" s="1"/>
  <c r="D49" i="7" s="1"/>
  <c r="D13" i="19"/>
  <c r="C26" i="19"/>
  <c r="C16" i="19"/>
  <c r="C18" i="19" s="1"/>
  <c r="C20" i="19" s="1"/>
  <c r="G9" i="7"/>
  <c r="G11" i="7" s="1"/>
  <c r="H9" i="7" s="1"/>
  <c r="H11" i="7" s="1"/>
  <c r="I9" i="7" s="1"/>
  <c r="F18" i="10"/>
  <c r="C19" i="10"/>
  <c r="G46" i="7"/>
  <c r="D30" i="14"/>
  <c r="D31" i="14" s="1"/>
  <c r="D32" i="14" s="1"/>
  <c r="D33" i="14" s="1"/>
  <c r="D34" i="14" s="1"/>
  <c r="D35" i="14" s="1"/>
  <c r="D20" i="4"/>
  <c r="D23" i="4" s="1"/>
  <c r="B7" i="16"/>
  <c r="C25" i="4"/>
  <c r="E19" i="10"/>
  <c r="E20" i="10" s="1"/>
  <c r="I10" i="7"/>
  <c r="I22" i="4"/>
  <c r="H10" i="13"/>
  <c r="C19" i="14"/>
  <c r="E18" i="14"/>
  <c r="D4" i="19" l="1"/>
  <c r="C13" i="7"/>
  <c r="C27" i="19"/>
  <c r="C29" i="19"/>
  <c r="C30" i="19" s="1"/>
  <c r="G39" i="7"/>
  <c r="C20" i="10"/>
  <c r="F20" i="10" s="1"/>
  <c r="F19" i="10"/>
  <c r="H46" i="7"/>
  <c r="C7" i="13"/>
  <c r="C9" i="13" s="1"/>
  <c r="C11" i="13" s="1"/>
  <c r="C13" i="13" s="1"/>
  <c r="C14" i="13" s="1"/>
  <c r="D24" i="4" s="1"/>
  <c r="F13" i="4"/>
  <c r="F48" i="7" s="1"/>
  <c r="E4" i="16"/>
  <c r="E5" i="16" s="1"/>
  <c r="E6" i="16" s="1"/>
  <c r="I11" i="7"/>
  <c r="I39" i="7" s="1"/>
  <c r="I41" i="7" s="1"/>
  <c r="B8" i="16"/>
  <c r="C27" i="4"/>
  <c r="C18" i="7" s="1"/>
  <c r="C20" i="7" s="1"/>
  <c r="H39" i="7"/>
  <c r="J22" i="4"/>
  <c r="I10" i="13"/>
  <c r="J10" i="7"/>
  <c r="E19" i="14"/>
  <c r="C20" i="14"/>
  <c r="C7" i="16"/>
  <c r="C27" i="7" l="1"/>
  <c r="C29" i="7" s="1"/>
  <c r="C14" i="7"/>
  <c r="D25" i="4"/>
  <c r="D26" i="4" s="1"/>
  <c r="D15" i="19"/>
  <c r="D14" i="19"/>
  <c r="D24" i="19"/>
  <c r="F13" i="11"/>
  <c r="F14" i="11" s="1"/>
  <c r="D30" i="11" s="1"/>
  <c r="D31" i="11" s="1"/>
  <c r="D33" i="11" s="1"/>
  <c r="D36" i="11" s="1"/>
  <c r="J10" i="13"/>
  <c r="K22" i="4"/>
  <c r="K10" i="7"/>
  <c r="J9" i="7"/>
  <c r="J11" i="7" s="1"/>
  <c r="K9" i="7" s="1"/>
  <c r="D17" i="7"/>
  <c r="C34" i="7"/>
  <c r="C35" i="7" s="1"/>
  <c r="C24" i="7"/>
  <c r="E20" i="14"/>
  <c r="E16" i="4" s="1"/>
  <c r="C21" i="14"/>
  <c r="E22" i="7"/>
  <c r="D16" i="19" l="1"/>
  <c r="E18" i="4"/>
  <c r="E45" i="7" s="1"/>
  <c r="E47" i="7" s="1"/>
  <c r="E49" i="7" s="1"/>
  <c r="E13" i="19"/>
  <c r="C25" i="7"/>
  <c r="D27" i="4"/>
  <c r="D18" i="7" s="1"/>
  <c r="D20" i="7" s="1"/>
  <c r="E17" i="7" s="1"/>
  <c r="D17" i="19"/>
  <c r="D26" i="19" s="1"/>
  <c r="D27" i="19" s="1"/>
  <c r="D25" i="19"/>
  <c r="C8" i="16"/>
  <c r="K11" i="7"/>
  <c r="K39" i="7" s="1"/>
  <c r="K41" i="7" s="1"/>
  <c r="D32" i="11"/>
  <c r="D35" i="11" s="1"/>
  <c r="D38" i="11" s="1"/>
  <c r="D39" i="11"/>
  <c r="G13" i="4"/>
  <c r="G48" i="7" s="1"/>
  <c r="F4" i="16"/>
  <c r="F5" i="16" s="1"/>
  <c r="F6" i="16" s="1"/>
  <c r="J39" i="7"/>
  <c r="J41" i="7" s="1"/>
  <c r="E21" i="14"/>
  <c r="C22" i="14"/>
  <c r="E33" i="7"/>
  <c r="E40" i="7"/>
  <c r="E41" i="7" s="1"/>
  <c r="E20" i="4" l="1"/>
  <c r="D18" i="19"/>
  <c r="D20" i="19" s="1"/>
  <c r="E4" i="19" s="1"/>
  <c r="D29" i="19"/>
  <c r="D30" i="19" s="1"/>
  <c r="D40" i="11"/>
  <c r="D34" i="7"/>
  <c r="D35" i="7" s="1"/>
  <c r="D24" i="7"/>
  <c r="E23" i="4"/>
  <c r="D7" i="16" s="1"/>
  <c r="D7" i="13"/>
  <c r="D9" i="13" s="1"/>
  <c r="D11" i="13" s="1"/>
  <c r="D13" i="13" s="1"/>
  <c r="D14" i="13" s="1"/>
  <c r="E24" i="4" s="1"/>
  <c r="E15" i="19" s="1"/>
  <c r="C23" i="14"/>
  <c r="E22" i="14"/>
  <c r="D13" i="7" l="1"/>
  <c r="D27" i="7" s="1"/>
  <c r="D29" i="7" s="1"/>
  <c r="D14" i="7"/>
  <c r="D25" i="7" s="1"/>
  <c r="E14" i="19"/>
  <c r="E16" i="19" s="1"/>
  <c r="E24" i="19"/>
  <c r="H13" i="4"/>
  <c r="H48" i="7" s="1"/>
  <c r="G4" i="16"/>
  <c r="G5" i="16" s="1"/>
  <c r="G6" i="16" s="1"/>
  <c r="E25" i="4"/>
  <c r="E26" i="4" s="1"/>
  <c r="E23" i="14"/>
  <c r="C24" i="14"/>
  <c r="E25" i="19" l="1"/>
  <c r="E27" i="4"/>
  <c r="E18" i="7" s="1"/>
  <c r="E20" i="7" s="1"/>
  <c r="E34" i="7" s="1"/>
  <c r="E35" i="7" s="1"/>
  <c r="E17" i="19"/>
  <c r="E26" i="19" s="1"/>
  <c r="E27" i="19" s="1"/>
  <c r="D8" i="16"/>
  <c r="E24" i="14"/>
  <c r="F16" i="4" s="1"/>
  <c r="C25" i="14"/>
  <c r="F22" i="7"/>
  <c r="F18" i="4" l="1"/>
  <c r="F13" i="19"/>
  <c r="F17" i="7"/>
  <c r="E18" i="19"/>
  <c r="E20" i="19" s="1"/>
  <c r="E24" i="7"/>
  <c r="E29" i="19"/>
  <c r="E30" i="19" s="1"/>
  <c r="I13" i="4"/>
  <c r="I48" i="7" s="1"/>
  <c r="H4" i="16"/>
  <c r="H5" i="16" s="1"/>
  <c r="H6" i="16" s="1"/>
  <c r="F20" i="4"/>
  <c r="F45" i="7"/>
  <c r="F47" i="7" s="1"/>
  <c r="F49" i="7" s="1"/>
  <c r="F33" i="7"/>
  <c r="F40" i="7"/>
  <c r="F41" i="7" s="1"/>
  <c r="C26" i="14"/>
  <c r="E25" i="14"/>
  <c r="F4" i="19" l="1"/>
  <c r="E13" i="7"/>
  <c r="C27" i="14"/>
  <c r="E26" i="14"/>
  <c r="F23" i="4"/>
  <c r="E7" i="13"/>
  <c r="E9" i="13" s="1"/>
  <c r="E11" i="13" s="1"/>
  <c r="E13" i="13" s="1"/>
  <c r="E14" i="13" s="1"/>
  <c r="F24" i="4" s="1"/>
  <c r="F15" i="19" s="1"/>
  <c r="J8" i="4"/>
  <c r="J11" i="4" s="1"/>
  <c r="J11" i="19" s="1"/>
  <c r="K8" i="4"/>
  <c r="K11" i="4" s="1"/>
  <c r="K11" i="19" s="1"/>
  <c r="E14" i="7" l="1"/>
  <c r="E25" i="7" s="1"/>
  <c r="E27" i="7"/>
  <c r="E29" i="7" s="1"/>
  <c r="F14" i="19"/>
  <c r="F16" i="19" s="1"/>
  <c r="F24" i="19"/>
  <c r="J3" i="16"/>
  <c r="K3" i="15"/>
  <c r="I3" i="16"/>
  <c r="J3" i="15"/>
  <c r="E7" i="16"/>
  <c r="F25" i="4"/>
  <c r="C28" i="14"/>
  <c r="E27" i="14"/>
  <c r="F25" i="19" l="1"/>
  <c r="J13" i="4"/>
  <c r="I4" i="16"/>
  <c r="I5" i="16" s="1"/>
  <c r="I6" i="16" s="1"/>
  <c r="F26" i="4"/>
  <c r="E8" i="16"/>
  <c r="C29" i="14"/>
  <c r="G22" i="7"/>
  <c r="E28" i="14"/>
  <c r="G16" i="4" s="1"/>
  <c r="G18" i="4" l="1"/>
  <c r="G13" i="19"/>
  <c r="F27" i="4"/>
  <c r="F18" i="7" s="1"/>
  <c r="F20" i="7" s="1"/>
  <c r="G17" i="7" s="1"/>
  <c r="F17" i="19"/>
  <c r="K13" i="4"/>
  <c r="J4" i="16"/>
  <c r="J5" i="16" s="1"/>
  <c r="J6" i="16" s="1"/>
  <c r="J20" i="4"/>
  <c r="J23" i="4" s="1"/>
  <c r="J48" i="7"/>
  <c r="J49" i="7" s="1"/>
  <c r="G33" i="7"/>
  <c r="G40" i="7"/>
  <c r="G41" i="7" s="1"/>
  <c r="G45" i="7"/>
  <c r="G47" i="7" s="1"/>
  <c r="G49" i="7" s="1"/>
  <c r="G20" i="4"/>
  <c r="C30" i="14"/>
  <c r="E29" i="14"/>
  <c r="F34" i="7" l="1"/>
  <c r="F35" i="7" s="1"/>
  <c r="F24" i="7"/>
  <c r="F26" i="19"/>
  <c r="F18" i="19"/>
  <c r="F20" i="19" s="1"/>
  <c r="K20" i="4"/>
  <c r="K23" i="4" s="1"/>
  <c r="K48" i="7"/>
  <c r="K49" i="7" s="1"/>
  <c r="I7" i="13"/>
  <c r="I9" i="13" s="1"/>
  <c r="I11" i="13" s="1"/>
  <c r="I13" i="13" s="1"/>
  <c r="I14" i="13" s="1"/>
  <c r="J24" i="4" s="1"/>
  <c r="J15" i="19" s="1"/>
  <c r="G23" i="4"/>
  <c r="F7" i="13"/>
  <c r="F9" i="13" s="1"/>
  <c r="F11" i="13" s="1"/>
  <c r="F13" i="13" s="1"/>
  <c r="F14" i="13" s="1"/>
  <c r="G24" i="4" s="1"/>
  <c r="G15" i="19" s="1"/>
  <c r="C31" i="14"/>
  <c r="E30" i="14"/>
  <c r="F27" i="19" l="1"/>
  <c r="F29" i="19"/>
  <c r="F30" i="19" s="1"/>
  <c r="G4" i="19"/>
  <c r="F13" i="7"/>
  <c r="I7" i="16"/>
  <c r="J25" i="4"/>
  <c r="J7" i="13"/>
  <c r="J9" i="13" s="1"/>
  <c r="J11" i="13" s="1"/>
  <c r="J13" i="13" s="1"/>
  <c r="J14" i="13" s="1"/>
  <c r="K24" i="4" s="1"/>
  <c r="K15" i="19" s="1"/>
  <c r="E31" i="14"/>
  <c r="C32" i="14"/>
  <c r="C33" i="14" s="1"/>
  <c r="F7" i="16"/>
  <c r="G25" i="4"/>
  <c r="H19" i="19" l="1"/>
  <c r="G14" i="19"/>
  <c r="G16" i="19" s="1"/>
  <c r="G24" i="19"/>
  <c r="F14" i="7"/>
  <c r="F25" i="7" s="1"/>
  <c r="F27" i="7"/>
  <c r="F29" i="7" s="1"/>
  <c r="E33" i="14"/>
  <c r="C34" i="14"/>
  <c r="H22" i="7"/>
  <c r="J7" i="16"/>
  <c r="K25" i="4"/>
  <c r="J26" i="4"/>
  <c r="I8" i="16"/>
  <c r="E32" i="14"/>
  <c r="H16" i="4" s="1"/>
  <c r="G26" i="4"/>
  <c r="F8" i="16"/>
  <c r="H18" i="4" l="1"/>
  <c r="H13" i="19"/>
  <c r="G27" i="4"/>
  <c r="G18" i="7" s="1"/>
  <c r="G20" i="7" s="1"/>
  <c r="G24" i="7" s="1"/>
  <c r="G17" i="19"/>
  <c r="G26" i="19" s="1"/>
  <c r="G27" i="19" s="1"/>
  <c r="J27" i="4"/>
  <c r="J18" i="7" s="1"/>
  <c r="J17" i="19"/>
  <c r="J26" i="19" s="1"/>
  <c r="J27" i="19" s="1"/>
  <c r="G25" i="19"/>
  <c r="C35" i="14"/>
  <c r="E34" i="14"/>
  <c r="J8" i="16"/>
  <c r="K26" i="4"/>
  <c r="H20" i="4"/>
  <c r="H45" i="7"/>
  <c r="H47" i="7" s="1"/>
  <c r="H49" i="7" s="1"/>
  <c r="H33" i="7"/>
  <c r="H40" i="7"/>
  <c r="H41" i="7" s="1"/>
  <c r="F42" i="7" s="1"/>
  <c r="G34" i="7" l="1"/>
  <c r="G35" i="7" s="1"/>
  <c r="H17" i="7"/>
  <c r="G29" i="19"/>
  <c r="G30" i="19" s="1"/>
  <c r="G18" i="19"/>
  <c r="G20" i="19" s="1"/>
  <c r="G13" i="7" s="1"/>
  <c r="K27" i="4"/>
  <c r="K18" i="7" s="1"/>
  <c r="K17" i="19"/>
  <c r="K26" i="19" s="1"/>
  <c r="K27" i="19" s="1"/>
  <c r="C36" i="14"/>
  <c r="E35" i="14"/>
  <c r="H23" i="4"/>
  <c r="G7" i="13"/>
  <c r="G9" i="13" s="1"/>
  <c r="G11" i="13" s="1"/>
  <c r="G13" i="13" s="1"/>
  <c r="G14" i="13" s="1"/>
  <c r="H24" i="4" s="1"/>
  <c r="H15" i="19" s="1"/>
  <c r="H4" i="19" l="1"/>
  <c r="H14" i="19" s="1"/>
  <c r="H16" i="19" s="1"/>
  <c r="G14" i="7"/>
  <c r="G25" i="7" s="1"/>
  <c r="G27" i="7"/>
  <c r="G29" i="7" s="1"/>
  <c r="D36" i="14"/>
  <c r="I46" i="7" s="1"/>
  <c r="E36" i="14"/>
  <c r="G7" i="16"/>
  <c r="H25" i="4"/>
  <c r="H24" i="19" l="1"/>
  <c r="H25" i="19" s="1"/>
  <c r="I16" i="4"/>
  <c r="H26" i="4"/>
  <c r="G8" i="16"/>
  <c r="I18" i="4" l="1"/>
  <c r="I20" i="4" s="1"/>
  <c r="I23" i="4" s="1"/>
  <c r="I13" i="19"/>
  <c r="H27" i="4"/>
  <c r="H18" i="7" s="1"/>
  <c r="H20" i="7" s="1"/>
  <c r="H24" i="7" s="1"/>
  <c r="H17" i="19"/>
  <c r="H7" i="13" l="1"/>
  <c r="H9" i="13" s="1"/>
  <c r="H11" i="13" s="1"/>
  <c r="H13" i="13" s="1"/>
  <c r="H14" i="13" s="1"/>
  <c r="I24" i="4" s="1"/>
  <c r="I15" i="19" s="1"/>
  <c r="I45" i="7"/>
  <c r="I47" i="7" s="1"/>
  <c r="I49" i="7" s="1"/>
  <c r="F50" i="7" s="1"/>
  <c r="I17" i="7"/>
  <c r="H34" i="7"/>
  <c r="H35" i="7" s="1"/>
  <c r="H26" i="19"/>
  <c r="H18" i="19"/>
  <c r="H20" i="19" s="1"/>
  <c r="H7" i="16"/>
  <c r="I25" i="4" l="1"/>
  <c r="I26" i="4" s="1"/>
  <c r="H27" i="19"/>
  <c r="H29" i="19"/>
  <c r="H30" i="19" s="1"/>
  <c r="I4" i="19"/>
  <c r="H13" i="7"/>
  <c r="H8" i="16"/>
  <c r="H27" i="7" l="1"/>
  <c r="H29" i="7" s="1"/>
  <c r="H14" i="7"/>
  <c r="H25" i="7" s="1"/>
  <c r="I14" i="19"/>
  <c r="I16" i="19" s="1"/>
  <c r="I24" i="19"/>
  <c r="I27" i="4"/>
  <c r="I18" i="7" s="1"/>
  <c r="I20" i="7" s="1"/>
  <c r="I34" i="7" s="1"/>
  <c r="I35" i="7" s="1"/>
  <c r="I17" i="19"/>
  <c r="I26" i="19" s="1"/>
  <c r="I27" i="19" s="1"/>
  <c r="J17" i="7" l="1"/>
  <c r="J20" i="7" s="1"/>
  <c r="K17" i="7" s="1"/>
  <c r="K20" i="7" s="1"/>
  <c r="I18" i="19"/>
  <c r="I20" i="19" s="1"/>
  <c r="J4" i="19" s="1"/>
  <c r="I24" i="7"/>
  <c r="I29" i="19"/>
  <c r="I30" i="19" s="1"/>
  <c r="I25" i="19"/>
  <c r="J34" i="7" l="1"/>
  <c r="J35" i="7" s="1"/>
  <c r="J24" i="7"/>
  <c r="I13" i="7"/>
  <c r="I27" i="7" s="1"/>
  <c r="I29" i="7" s="1"/>
  <c r="J14" i="19"/>
  <c r="J16" i="19" s="1"/>
  <c r="J18" i="19" s="1"/>
  <c r="J20" i="19" s="1"/>
  <c r="J24" i="19"/>
  <c r="I14" i="7"/>
  <c r="I25" i="7" s="1"/>
  <c r="L25" i="7" s="1"/>
  <c r="K24" i="7"/>
  <c r="K34" i="7"/>
  <c r="K35" i="7" s="1"/>
  <c r="F36" i="7" s="1"/>
  <c r="K4" i="19" l="1"/>
  <c r="J13" i="7"/>
  <c r="J25" i="19"/>
  <c r="J29" i="19"/>
  <c r="J30" i="19" s="1"/>
  <c r="J14" i="7" l="1"/>
  <c r="J25" i="7" s="1"/>
  <c r="J27" i="7"/>
  <c r="J29" i="7" s="1"/>
  <c r="K14" i="19"/>
  <c r="K16" i="19" s="1"/>
  <c r="K18" i="19" s="1"/>
  <c r="K20" i="19" s="1"/>
  <c r="K13" i="7" s="1"/>
  <c r="K24" i="19"/>
  <c r="K27" i="7" l="1"/>
  <c r="K29" i="7" s="1"/>
  <c r="F30" i="7" s="1"/>
  <c r="K14" i="7"/>
  <c r="K25" i="7" s="1"/>
  <c r="K29" i="19"/>
  <c r="K30" i="19" s="1"/>
  <c r="L30" i="19" s="1"/>
  <c r="K25" i="19"/>
</calcChain>
</file>

<file path=xl/sharedStrings.xml><?xml version="1.0" encoding="utf-8"?>
<sst xmlns="http://schemas.openxmlformats.org/spreadsheetml/2006/main" count="443" uniqueCount="318">
  <si>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</si>
  <si>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</si>
  <si>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</si>
  <si>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</si>
  <si>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</si>
  <si>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</si>
  <si>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</si>
  <si>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</si>
  <si>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</si>
  <si>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</si>
  <si>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</si>
  <si>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</si>
  <si>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</si>
  <si>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</si>
  <si>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</si>
  <si>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</si>
  <si>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</si>
  <si>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</si>
  <si>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</si>
  <si>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</si>
  <si>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</si>
  <si>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</si>
  <si>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</si>
  <si>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</si>
  <si>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</si>
  <si>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</si>
  <si>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</si>
  <si>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</si>
  <si>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</si>
  <si>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</si>
  <si>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</si>
  <si>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</si>
  <si>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</si>
  <si>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Area/ capacity</t>
  </si>
  <si>
    <t>Units</t>
  </si>
  <si>
    <t>Rate</t>
  </si>
  <si>
    <t>Amt</t>
  </si>
  <si>
    <t>Total (Civil work)</t>
  </si>
  <si>
    <t>Pack house building</t>
  </si>
  <si>
    <t>plastic crates</t>
  </si>
  <si>
    <t>Staging Room and Cold room</t>
  </si>
  <si>
    <t>2. Plant and machinery</t>
  </si>
  <si>
    <t>800 sq mtr</t>
  </si>
  <si>
    <t>20 KG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</si>
  <si>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</si>
  <si>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</si>
  <si>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</si>
  <si>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</si>
  <si>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</si>
  <si>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</si>
  <si>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</si>
  <si>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</si>
  <si>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</si>
  <si>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</si>
  <si>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</si>
  <si>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</si>
  <si>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</si>
  <si>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</si>
  <si>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</si>
  <si>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</si>
  <si>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Sub Total</t>
  </si>
  <si>
    <t>Sales Budget</t>
  </si>
  <si>
    <t>Sales</t>
  </si>
  <si>
    <t>Assumptions:</t>
  </si>
  <si>
    <t>A. Power</t>
  </si>
  <si>
    <t>Connection load</t>
  </si>
  <si>
    <t>Maximum demand</t>
  </si>
  <si>
    <t>NO. of Working Days</t>
  </si>
  <si>
    <t>100 KW (50 Solar panel and 50 State electricity)</t>
  </si>
  <si>
    <t>No. of Working Hours in a year</t>
  </si>
  <si>
    <t>KW</t>
  </si>
  <si>
    <t>units</t>
  </si>
  <si>
    <t>Less: Units consumed from electricity generated by solar panel</t>
  </si>
  <si>
    <t>Less: units consumed from use of DG Set</t>
  </si>
  <si>
    <t>No. of units purchased</t>
  </si>
  <si>
    <t>Power tariff and cost</t>
  </si>
  <si>
    <t>SEB supply</t>
  </si>
  <si>
    <t>DG Set supply</t>
  </si>
  <si>
    <t>rate per unit</t>
  </si>
  <si>
    <t>Assumption:</t>
  </si>
  <si>
    <t>2. It is assumed that DG Set cost per unit is Avg Rs. 17 p.u.</t>
  </si>
  <si>
    <t>1. It is assumed that state electricity power supply charges are Rs. 10 p.u.(Avg)</t>
  </si>
  <si>
    <t>Value</t>
  </si>
  <si>
    <t>3. Fuel cost is cost of producing the electricity via DG Set, thus not indicated seperately</t>
  </si>
  <si>
    <t>4. It is assumed that cost of operating DG Set is 3% p.a. of cost of acquiring the asset</t>
  </si>
  <si>
    <t>Annexure 7 - Details of Mnpower (Technical)</t>
  </si>
  <si>
    <t>Details of Manpower (technical)</t>
  </si>
  <si>
    <t>S. No.</t>
  </si>
  <si>
    <t>Designation</t>
  </si>
  <si>
    <t>In no.</t>
  </si>
  <si>
    <t>Salary per person per month</t>
  </si>
  <si>
    <t>i.</t>
  </si>
  <si>
    <t>ii.</t>
  </si>
  <si>
    <t>Machine operator</t>
  </si>
  <si>
    <t>Labour</t>
  </si>
  <si>
    <t>Add: beefits @ 30%</t>
  </si>
  <si>
    <t>Total annual wages</t>
  </si>
  <si>
    <t>Annual increase in wages</t>
  </si>
  <si>
    <t>Annexure 8 - Details of Mnpower (Administrative)</t>
  </si>
  <si>
    <t>Executive</t>
  </si>
  <si>
    <t>Accountant</t>
  </si>
  <si>
    <t>iii.</t>
  </si>
  <si>
    <t>Sub staff and security (1 each)</t>
  </si>
  <si>
    <t>Total manpoer technical</t>
  </si>
  <si>
    <t>Total manpower administrative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</si>
  <si>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</si>
  <si>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</si>
  <si>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</si>
  <si>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</si>
  <si>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</si>
  <si>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</si>
  <si>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</si>
  <si>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</si>
  <si>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</si>
  <si>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</si>
  <si>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</si>
  <si>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</si>
  <si>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Contribution</t>
  </si>
  <si>
    <t>Less: fixed cost</t>
  </si>
  <si>
    <t>Wages and salaries</t>
  </si>
  <si>
    <t>Transportation expense</t>
  </si>
  <si>
    <t>Office expense</t>
  </si>
  <si>
    <t>Depreciation</t>
  </si>
  <si>
    <t>5. 1 unit of electricity produces 20 kg processed vegetable and fruits</t>
  </si>
  <si>
    <t>6. electricity is not a constraint for production as 2 alternatives for input are available: DG Set and solar panel</t>
  </si>
  <si>
    <t>2. Office expenses are fixed with annual increase 2% annually</t>
  </si>
  <si>
    <t>3. selling expenses are variable expenses, incurred Rs. 2 per kg of output sold</t>
  </si>
  <si>
    <t>No. of units consumed in production per year</t>
  </si>
  <si>
    <t>Office Electricity expense</t>
  </si>
  <si>
    <t>4. Office electricity expenses are fixed at Rs. 2 lakhs, while peoduction electricity expenses are variable</t>
  </si>
  <si>
    <t>FC</t>
  </si>
  <si>
    <t>Fixed cost</t>
  </si>
  <si>
    <t>BEP in Rs.</t>
  </si>
  <si>
    <t>Veg</t>
  </si>
  <si>
    <t>Fruits</t>
  </si>
  <si>
    <t>Vegetable</t>
  </si>
  <si>
    <t>Rs. per unit</t>
  </si>
  <si>
    <t>Contribution per unit</t>
  </si>
  <si>
    <t>Contribution margin in %</t>
  </si>
  <si>
    <t>Proportionate Contribution margin</t>
  </si>
  <si>
    <t>Sales ratio</t>
  </si>
  <si>
    <t>Electricity charges</t>
  </si>
  <si>
    <t>selling expenses</t>
  </si>
  <si>
    <t>Interest on Working capital</t>
  </si>
  <si>
    <t>Direct overheads</t>
  </si>
  <si>
    <t>Running and maintenance cost</t>
  </si>
  <si>
    <t>Procurement cost of vegetable and fruit</t>
  </si>
  <si>
    <t>Sales price per kg</t>
  </si>
  <si>
    <t>BEP in KG for Vegetable</t>
  </si>
  <si>
    <t>BEP in KG for Fruits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</si>
  <si>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</si>
  <si>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</si>
  <si>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</si>
  <si>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</si>
  <si>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</si>
  <si>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</si>
  <si>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</si>
  <si>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</si>
  <si>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</si>
  <si>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</si>
  <si>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Ineterst on working capital</t>
  </si>
  <si>
    <t>Annexure 13 - Repayment schedule</t>
  </si>
  <si>
    <t>Repayment schedule</t>
  </si>
  <si>
    <t>Amount of Loan (in lakhs)</t>
  </si>
  <si>
    <t>Rate of interest</t>
  </si>
  <si>
    <t>Moratorium period</t>
  </si>
  <si>
    <t>12 months</t>
  </si>
  <si>
    <t>Quarter</t>
  </si>
  <si>
    <t>Balance outstanding</t>
  </si>
  <si>
    <t>Interest</t>
  </si>
  <si>
    <t>Principal instalment</t>
  </si>
  <si>
    <t>total</t>
  </si>
  <si>
    <t>Operating profits (PBT)</t>
  </si>
  <si>
    <t>preliminary expenses</t>
  </si>
  <si>
    <t>depreciation</t>
  </si>
  <si>
    <t>Net Profit before Tax</t>
  </si>
  <si>
    <t>Profits after Tax</t>
  </si>
  <si>
    <t>Distribution of profits (80%)</t>
  </si>
  <si>
    <t>Annexure 10 - Calculation of Income tax</t>
  </si>
  <si>
    <t>Calculation of Income Tax</t>
  </si>
  <si>
    <t>BEP for Vegetable</t>
  </si>
  <si>
    <t>BEP for Fruits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</si>
  <si>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</si>
  <si>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</si>
  <si>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</si>
  <si>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</si>
  <si>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</si>
  <si>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</si>
  <si>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</si>
  <si>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</si>
  <si>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</si>
  <si>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</si>
  <si>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</si>
  <si>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</si>
  <si>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</si>
  <si>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</si>
  <si>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</si>
  <si>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</si>
  <si>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</si>
  <si>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</si>
  <si>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</si>
  <si>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</si>
  <si>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</si>
  <si>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</si>
  <si>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</si>
  <si>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</si>
  <si>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</si>
  <si>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</si>
  <si>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</si>
  <si>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</si>
  <si>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</si>
  <si>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</si>
  <si>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</si>
  <si>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</si>
  <si>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</si>
  <si>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</si>
  <si>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</si>
  <si>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</si>
  <si>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</si>
  <si>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</si>
  <si>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</si>
  <si>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</si>
  <si>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</si>
  <si>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</si>
  <si>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</si>
  <si>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</si>
  <si>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</si>
  <si>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</si>
  <si>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</si>
  <si>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Total BEP</t>
  </si>
  <si>
    <t>Average</t>
  </si>
  <si>
    <t>Fixed asset coverage ratio</t>
  </si>
  <si>
    <t>Fixed assets</t>
  </si>
  <si>
    <t>1. Interest on working capital is computed taking 10% rate of interest p.a.</t>
  </si>
  <si>
    <t>Turnover</t>
  </si>
  <si>
    <t>Cost Of operations</t>
  </si>
  <si>
    <t>Gross profit</t>
  </si>
  <si>
    <t>EBITDA</t>
  </si>
  <si>
    <t>Profit before tax</t>
  </si>
  <si>
    <t>Profit after tax</t>
  </si>
  <si>
    <t>S. no.</t>
  </si>
  <si>
    <t>Assumptions</t>
  </si>
  <si>
    <t>In the process of processing vegetables and fruits, it is assumed that there is normal loss of 10% of output produced</t>
  </si>
  <si>
    <t>It is assumed that cost of inputs vegetable and fruits will increase 5% p.a.</t>
  </si>
  <si>
    <t>Transportation cost is fiexed at 12 lakhs, bound to increase by 5% annually</t>
  </si>
  <si>
    <t>Office electricity expense is Rs. 3.5 lakhs which will increase 5% annually</t>
  </si>
  <si>
    <t>Office stationery expense is Rs. 200000 which increase 2% annually</t>
  </si>
  <si>
    <t>It is assumed that 90 days of purchases are average creditors maintained</t>
  </si>
  <si>
    <t>It is assumed that 30 days of sales are average debtors maintained by the business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</si>
  <si>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</si>
  <si>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</si>
  <si>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</si>
  <si>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</si>
  <si>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</si>
  <si>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</si>
  <si>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</si>
  <si>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</si>
  <si>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</si>
  <si>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</si>
  <si>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</si>
  <si>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</si>
  <si>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</si>
  <si>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</si>
  <si>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</si>
  <si>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</si>
  <si>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</si>
  <si>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Annual cost</t>
  </si>
  <si>
    <t>Details of Manpower (Admin)</t>
  </si>
  <si>
    <t>Annexure 6 - Requirement of Power and Fuel</t>
  </si>
  <si>
    <t>Requirement of Power and Fuel</t>
  </si>
  <si>
    <t>DPR without Subsidy</t>
  </si>
  <si>
    <t>Cost of closing stock is taken to be 22 (avg cost)</t>
  </si>
  <si>
    <t>Automatic fruit grading and sorting machine</t>
  </si>
  <si>
    <t>5-6 ton per hour</t>
  </si>
  <si>
    <t>Electronic weighing machine</t>
  </si>
  <si>
    <t>Shrik wraping machine</t>
  </si>
  <si>
    <t>Continuous type conveyor washer for fruits and vegetables</t>
  </si>
  <si>
    <t>Dock leveler</t>
  </si>
  <si>
    <t>30 MT</t>
  </si>
  <si>
    <t>Electrical works, stablizer</t>
  </si>
  <si>
    <t>Computer invoicing</t>
  </si>
  <si>
    <t>Conveyor belt</t>
  </si>
  <si>
    <t>Accessories</t>
  </si>
  <si>
    <t>Running and Manintenance expense @20% of rveenue</t>
  </si>
  <si>
    <t>Capacity utilization</t>
  </si>
  <si>
    <t>Revenue</t>
  </si>
  <si>
    <t>Colourimeter</t>
  </si>
  <si>
    <t>size - digital vernier calipers</t>
  </si>
  <si>
    <t>Digital moisture meter</t>
  </si>
  <si>
    <t>Spectrophotometer</t>
  </si>
  <si>
    <t>1. It is assumed that F&amp;V unit is leased to the third party on the basis of bid called and submtted by APMC</t>
  </si>
  <si>
    <t>Income Tax/ (Savings)</t>
  </si>
  <si>
    <t xml:space="preserve">Revenue </t>
  </si>
  <si>
    <t>Creditors</t>
  </si>
  <si>
    <t>Annexure 14 - Cash flow statement</t>
  </si>
  <si>
    <t>opening balance</t>
  </si>
  <si>
    <t>Add: Capital</t>
  </si>
  <si>
    <t>Add: Loan disbursement</t>
  </si>
  <si>
    <t>Less: Purchase of asset</t>
  </si>
  <si>
    <t>Add: Sales realizations</t>
  </si>
  <si>
    <t>Less: Payment made to creditors of previos year</t>
  </si>
  <si>
    <t>Add: Receipts from debtors of previos year</t>
  </si>
  <si>
    <t>Less: Payments made for current year purchase</t>
  </si>
  <si>
    <t>Less: Interest payments</t>
  </si>
  <si>
    <t>Less: Income tax</t>
  </si>
  <si>
    <t>Less: Distrubutions made from profits</t>
  </si>
  <si>
    <t>Less: Principal repayment of loan</t>
  </si>
  <si>
    <t>Closing cash balance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</si>
  <si>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</si>
  <si>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</si>
  <si>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</si>
  <si>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</si>
  <si>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</si>
  <si>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</si>
  <si>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</si>
  <si>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</si>
  <si>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Less: Legal expense</t>
  </si>
  <si>
    <t>Pack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</si>
</sst>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00_);_(* \(#,##0.00000\);_(* &quot;-&quot;??_);_(@_)"/>
    <numFmt numFmtId="167" formatCode="_(* #,##0.00000000_);_(* \(#,##0.00000000\);_(* &quot;-&quot;??_);_(@_)"/>
    <numFmt numFmtId="168" formatCode="0.0%"/>
    <numFmt numFmtId="169" formatCode="_(* #,##0.000000000_);_(* \(#,##0.0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dobe Devanagari"/>
      <family val="1"/>
    </font>
    <font>
      <u/>
      <sz val="11"/>
      <color theme="1"/>
      <name val="Adobe Devanagari"/>
      <family val="1"/>
    </font>
    <font>
      <b/>
      <sz val="11"/>
      <color theme="1"/>
      <name val="Adobe Devanagari"/>
      <family val="1"/>
    </font>
    <font>
      <sz val="11"/>
      <color theme="0"/>
      <name val="Adobe Devanagari"/>
      <family val="1"/>
    </font>
    <font>
      <u/>
      <sz val="11"/>
      <color theme="10"/>
      <name val="Adobe Devanagari"/>
      <family val="1"/>
    </font>
    <font>
      <b/>
      <sz val="11"/>
      <name val="Adobe Devanagari"/>
      <family val="1"/>
    </font>
    <font>
      <sz val="11"/>
      <name val="Adobe Devanagari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3" fillId="0" borderId="0" xfId="0" quotePrefix="1" applyFont="1"/>
    <xf numFmtId="164" fontId="3" fillId="0" borderId="0" xfId="0" applyNumberFormat="1" applyFont="1"/>
    <xf numFmtId="43" fontId="3" fillId="0" borderId="0" xfId="0" applyNumberFormat="1" applyFont="1"/>
    <xf numFmtId="0" fontId="3" fillId="2" borderId="0" xfId="0" applyFont="1" applyFill="1"/>
    <xf numFmtId="10" fontId="3" fillId="0" borderId="0" xfId="2" applyNumberFormat="1" applyFont="1"/>
    <xf numFmtId="0" fontId="5" fillId="0" borderId="0" xfId="0" applyFont="1"/>
    <xf numFmtId="0" fontId="3" fillId="3" borderId="1" xfId="0" applyFont="1" applyFill="1" applyBorder="1"/>
    <xf numFmtId="0" fontId="3" fillId="0" borderId="1" xfId="0" applyFont="1" applyBorder="1"/>
    <xf numFmtId="164" fontId="3" fillId="0" borderId="1" xfId="1" applyNumberFormat="1" applyFont="1" applyBorder="1"/>
    <xf numFmtId="43" fontId="3" fillId="0" borderId="1" xfId="1" applyFont="1" applyBorder="1"/>
    <xf numFmtId="164" fontId="3" fillId="0" borderId="1" xfId="0" applyNumberFormat="1" applyFont="1" applyBorder="1"/>
    <xf numFmtId="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0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10" xfId="0" applyFont="1" applyBorder="1"/>
    <xf numFmtId="0" fontId="5" fillId="3" borderId="1" xfId="0" applyFont="1" applyFill="1" applyBorder="1"/>
    <xf numFmtId="0" fontId="5" fillId="0" borderId="6" xfId="0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9" xfId="0" applyFont="1" applyBorder="1"/>
    <xf numFmtId="164" fontId="3" fillId="0" borderId="11" xfId="0" applyNumberFormat="1" applyFont="1" applyBorder="1"/>
    <xf numFmtId="43" fontId="3" fillId="0" borderId="11" xfId="0" applyNumberFormat="1" applyFont="1" applyBorder="1"/>
    <xf numFmtId="43" fontId="3" fillId="0" borderId="9" xfId="0" applyNumberFormat="1" applyFont="1" applyBorder="1"/>
    <xf numFmtId="164" fontId="3" fillId="0" borderId="9" xfId="0" applyNumberFormat="1" applyFont="1" applyBorder="1"/>
    <xf numFmtId="164" fontId="3" fillId="0" borderId="11" xfId="1" applyNumberFormat="1" applyFont="1" applyBorder="1"/>
    <xf numFmtId="164" fontId="3" fillId="0" borderId="9" xfId="1" applyNumberFormat="1" applyFont="1" applyBorder="1"/>
    <xf numFmtId="0" fontId="5" fillId="0" borderId="0" xfId="0" applyFont="1" applyBorder="1"/>
    <xf numFmtId="0" fontId="3" fillId="0" borderId="0" xfId="0" applyFont="1" applyFill="1" applyBorder="1"/>
    <xf numFmtId="43" fontId="3" fillId="0" borderId="9" xfId="1" applyFont="1" applyBorder="1"/>
    <xf numFmtId="0" fontId="3" fillId="0" borderId="12" xfId="0" applyFont="1" applyBorder="1"/>
    <xf numFmtId="0" fontId="6" fillId="0" borderId="0" xfId="0" applyFont="1"/>
    <xf numFmtId="0" fontId="3" fillId="0" borderId="1" xfId="0" applyFont="1" applyFill="1" applyBorder="1"/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4" xfId="0" applyNumberFormat="1" applyFont="1" applyBorder="1"/>
    <xf numFmtId="0" fontId="3" fillId="0" borderId="0" xfId="0" applyFont="1" applyAlignment="1"/>
    <xf numFmtId="2" fontId="3" fillId="0" borderId="0" xfId="0" applyNumberFormat="1" applyFont="1"/>
    <xf numFmtId="2" fontId="3" fillId="0" borderId="1" xfId="0" applyNumberFormat="1" applyFont="1" applyBorder="1"/>
    <xf numFmtId="43" fontId="3" fillId="0" borderId="4" xfId="0" applyNumberFormat="1" applyFont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3" fillId="0" borderId="11" xfId="0" applyFont="1" applyBorder="1" applyAlignment="1">
      <alignment horizontal="left"/>
    </xf>
    <xf numFmtId="2" fontId="3" fillId="0" borderId="9" xfId="0" applyNumberFormat="1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left"/>
    </xf>
    <xf numFmtId="166" fontId="3" fillId="0" borderId="10" xfId="0" applyNumberFormat="1" applyFont="1" applyBorder="1"/>
    <xf numFmtId="167" fontId="3" fillId="0" borderId="0" xfId="0" applyNumberFormat="1" applyFont="1"/>
    <xf numFmtId="0" fontId="4" fillId="4" borderId="2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7" fillId="0" borderId="1" xfId="3" quotePrefix="1" applyFont="1" applyBorder="1"/>
    <xf numFmtId="0" fontId="7" fillId="0" borderId="1" xfId="3" applyFont="1" applyBorder="1"/>
    <xf numFmtId="0" fontId="5" fillId="4" borderId="1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/>
    <xf numFmtId="0" fontId="3" fillId="4" borderId="0" xfId="0" applyFont="1" applyFill="1" applyBorder="1"/>
    <xf numFmtId="0" fontId="3" fillId="4" borderId="11" xfId="0" applyFont="1" applyFill="1" applyBorder="1"/>
    <xf numFmtId="0" fontId="3" fillId="4" borderId="9" xfId="0" applyFont="1" applyFill="1" applyBorder="1"/>
    <xf numFmtId="164" fontId="3" fillId="4" borderId="9" xfId="0" applyNumberFormat="1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6" xfId="0" applyFont="1" applyBorder="1"/>
    <xf numFmtId="0" fontId="3" fillId="0" borderId="19" xfId="0" applyFont="1" applyBorder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0" applyNumberFormat="1" applyFont="1" applyBorder="1"/>
    <xf numFmtId="9" fontId="5" fillId="4" borderId="1" xfId="0" applyNumberFormat="1" applyFont="1" applyFill="1" applyBorder="1"/>
    <xf numFmtId="168" fontId="5" fillId="4" borderId="1" xfId="0" applyNumberFormat="1" applyFont="1" applyFill="1" applyBorder="1"/>
    <xf numFmtId="9" fontId="3" fillId="0" borderId="1" xfId="0" applyNumberFormat="1" applyFont="1" applyBorder="1"/>
    <xf numFmtId="43" fontId="3" fillId="0" borderId="9" xfId="1" applyNumberFormat="1" applyFont="1" applyBorder="1"/>
    <xf numFmtId="165" fontId="3" fillId="0" borderId="0" xfId="0" applyNumberFormat="1" applyFont="1"/>
    <xf numFmtId="0" fontId="8" fillId="0" borderId="0" xfId="0" applyFont="1"/>
    <xf numFmtId="0" fontId="9" fillId="0" borderId="0" xfId="0" applyFont="1"/>
    <xf numFmtId="0" fontId="8" fillId="4" borderId="1" xfId="0" applyFont="1" applyFill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164" fontId="6" fillId="0" borderId="0" xfId="1" applyNumberFormat="1" applyFont="1"/>
    <xf numFmtId="10" fontId="6" fillId="0" borderId="0" xfId="1" applyNumberFormat="1" applyFont="1"/>
    <xf numFmtId="169" fontId="6" fillId="0" borderId="0" xfId="1" applyNumberFormat="1" applyFont="1"/>
    <xf numFmtId="164" fontId="6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Sir-%20Nabcons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82E6-A493-49EC-B5C1-DE8540A4435F}">
  <dimension ref="A1:B19"/>
  <sheetViews>
    <sheetView tabSelected="1" workbookViewId="0"/>
  </sheetViews>
  <sheetFormatPr defaultRowHeight="17" x14ac:dyDescent="0.6"/>
  <cols>
    <col min="1" max="1" width="57.90625" style="1" bestFit="1" customWidth="1"/>
    <col min="2" max="2" width="14.453125" style="1" bestFit="1" customWidth="1"/>
    <col min="3" max="16384" width="8.7265625" style="1"/>
  </cols>
  <sheetData>
    <row r="1" spans="1:2" x14ac:dyDescent="0.6">
      <c r="A1" s="9" t="s">
        <v>317</v>
      </c>
    </row>
    <row r="3" spans="1:2" x14ac:dyDescent="0.6">
      <c r="A3" s="9" t="s">
        <v>249</v>
      </c>
    </row>
    <row r="5" spans="1:2" x14ac:dyDescent="0.6">
      <c r="A5" s="73" t="s">
        <v>250</v>
      </c>
      <c r="B5" s="73" t="s">
        <v>251</v>
      </c>
    </row>
    <row r="6" spans="1:2" x14ac:dyDescent="0.6">
      <c r="A6" s="11" t="str">
        <f>'[1]Ann 1'!A3</f>
        <v>Annexure 1 - Estimated cost of the project</v>
      </c>
      <c r="B6" s="71" t="s">
        <v>252</v>
      </c>
    </row>
    <row r="7" spans="1:2" x14ac:dyDescent="0.6">
      <c r="A7" s="11" t="str">
        <f>'[1]Ann 2'!A1</f>
        <v>Annexure 2 - Means of Finance</v>
      </c>
      <c r="B7" s="71" t="s">
        <v>253</v>
      </c>
    </row>
    <row r="8" spans="1:2" x14ac:dyDescent="0.6">
      <c r="A8" s="11" t="str">
        <f>'[1]Ann 3'!A1</f>
        <v>Annexure 3 - Complete Estimate of Civil and Plant and Machinery</v>
      </c>
      <c r="B8" s="71" t="s">
        <v>254</v>
      </c>
    </row>
    <row r="9" spans="1:2" x14ac:dyDescent="0.6">
      <c r="A9" s="11" t="str">
        <f>'[1]Ann 4'!A1</f>
        <v>Annexure 4 - Estimated Cost of Production</v>
      </c>
      <c r="B9" s="71" t="s">
        <v>255</v>
      </c>
    </row>
    <row r="10" spans="1:2" x14ac:dyDescent="0.6">
      <c r="A10" s="11" t="str">
        <f>'[1]Ann 5'!A1</f>
        <v>Annexure 5- Projected balance sheet</v>
      </c>
      <c r="B10" s="71" t="s">
        <v>256</v>
      </c>
    </row>
    <row r="11" spans="1:2" x14ac:dyDescent="0.6">
      <c r="A11" s="11" t="str">
        <f>'[1]Ann 6'!A1</f>
        <v>Annexure 6 - Requirement of Power and Fuel</v>
      </c>
      <c r="B11" s="71" t="s">
        <v>257</v>
      </c>
    </row>
    <row r="12" spans="1:2" x14ac:dyDescent="0.6">
      <c r="A12" s="11" t="str">
        <f>'[1]Ann 7'!A1</f>
        <v>Annexure 7 - Details of Mnpower (Technical)</v>
      </c>
      <c r="B12" s="71" t="s">
        <v>258</v>
      </c>
    </row>
    <row r="13" spans="1:2" x14ac:dyDescent="0.6">
      <c r="A13" s="11" t="str">
        <f>'[1]Ann 8'!A1</f>
        <v>Annexure 8 - Details of Mnpower (Administrative)</v>
      </c>
      <c r="B13" s="71" t="s">
        <v>259</v>
      </c>
    </row>
    <row r="14" spans="1:2" x14ac:dyDescent="0.6">
      <c r="A14" s="11" t="str">
        <f>'[1]Ann 9'!A1</f>
        <v>Annexure 9 - Computation of Depreciation</v>
      </c>
      <c r="B14" s="71" t="s">
        <v>260</v>
      </c>
    </row>
    <row r="15" spans="1:2" x14ac:dyDescent="0.6">
      <c r="A15" s="11" t="str">
        <f>'[1]Ann 10'!A1</f>
        <v>Annexure 10 - Calculation of Income tax</v>
      </c>
      <c r="B15" s="71" t="s">
        <v>261</v>
      </c>
    </row>
    <row r="16" spans="1:2" x14ac:dyDescent="0.6">
      <c r="A16" s="11" t="str">
        <f>'[1]Ann 11'!A1</f>
        <v>Annexure 11- Break even analysis (At maximum capacity utilization)</v>
      </c>
      <c r="B16" s="71" t="s">
        <v>262</v>
      </c>
    </row>
    <row r="17" spans="1:2" x14ac:dyDescent="0.6">
      <c r="A17" s="11" t="str">
        <f>'[1]Ann 13'!A1</f>
        <v>Annexure 13 - Repayment schedule</v>
      </c>
      <c r="B17" s="71" t="s">
        <v>263</v>
      </c>
    </row>
    <row r="18" spans="1:2" x14ac:dyDescent="0.6">
      <c r="A18" s="11" t="str">
        <f>[1]Assumptions!B1</f>
        <v>Assumptions</v>
      </c>
      <c r="B18" s="72" t="s">
        <v>264</v>
      </c>
    </row>
    <row r="19" spans="1:2" x14ac:dyDescent="0.6">
      <c r="A19" s="11" t="str">
        <f>[1]Budgets!A1</f>
        <v>Sales Budget</v>
      </c>
      <c r="B19" s="72" t="s">
        <v>265</v>
      </c>
    </row>
  </sheetData>
  <hyperlinks>
    <hyperlink ref="B6" location="'Ann 1'!A1" display="Ann 1'!A1" xr:uid="{2BA1C4CC-B890-457F-A81E-6D38B0B5D626}"/>
    <hyperlink ref="B7" location="'Ann 2'!A1" display="Ann 2'!A1" xr:uid="{93829F39-AB07-430B-B734-FD048CC7D412}"/>
    <hyperlink ref="B8" location="'Ann 3'!A1" display="'Ann 3'!A1" xr:uid="{314E71D5-CC23-487D-A75C-454AE000FFC7}"/>
    <hyperlink ref="B9" location="'Ann 5'!A1" display="Ann 4'!A1" xr:uid="{326DAC80-FA23-42C6-9CAD-D92A045740C9}"/>
    <hyperlink ref="B10" location="'Ann 6'!A1" display="Ann 5'!A1" xr:uid="{D450B567-0AF5-4731-827B-911F9301E27C}"/>
    <hyperlink ref="B11" location="'Ann 6'!A1" display="'Ann 6'!A1" xr:uid="{4A63601B-5D58-4BA3-BA0F-FC7A2F07CEC1}"/>
    <hyperlink ref="B12" location="'Ann 7'!A1" display="'Ann 7'!A1" xr:uid="{CD039F65-93F9-45E1-A99A-A5DCA9855D00}"/>
    <hyperlink ref="B13" location="'Ann 8'!A1" display="'Ann 8'!A1" xr:uid="{2FFC0C2C-8178-4A42-A41E-0A3A8DA5ACF4}"/>
    <hyperlink ref="B14" location="'Ann 9'!A1" display="'Ann 9'!A1" xr:uid="{79B3AC77-CED9-46FF-B61B-FC28B71E9B0C}"/>
    <hyperlink ref="B15" location="'Ann 10'!A1" display="'Ann 10'!A1" xr:uid="{A4E4C7CC-4E29-41D4-BEB5-A8D2BF124FCC}"/>
    <hyperlink ref="B16" location="'Ann 11'!A1" display="'Ann 11'!A1" xr:uid="{8CA969FD-B77D-48C0-8DD0-987F13265783}"/>
    <hyperlink ref="B17" location="'Ann 13'!A1" display="'Ann 13'!A1" xr:uid="{517308D9-98BA-48DF-A642-E4BB68F4CC22}"/>
    <hyperlink ref="B18" location="Assumptions!A1" display="Assumptions!A1" xr:uid="{A403A942-18E0-4839-BA52-A6F420D29D16}"/>
    <hyperlink ref="B19" location="Budgets!A1" display="Budgets!A1" xr:uid="{149FD867-4B85-4874-A69C-85F985AE88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dimension ref="A1:F21"/>
  <sheetViews>
    <sheetView topLeftCell="A11" workbookViewId="0">
      <selection activeCell="E11" sqref="E11"/>
    </sheetView>
  </sheetViews>
  <sheetFormatPr defaultRowHeight="17" x14ac:dyDescent="0.6"/>
  <cols>
    <col min="1" max="1" width="6.36328125" style="1" bestFit="1" customWidth="1"/>
    <col min="2" max="2" width="19" style="1" customWidth="1"/>
    <col min="3" max="3" width="19.453125" style="1" bestFit="1" customWidth="1"/>
    <col min="4" max="4" width="18.08984375" style="1" bestFit="1" customWidth="1"/>
    <col min="5" max="5" width="14.453125" style="1" bestFit="1" customWidth="1"/>
    <col min="6" max="6" width="14.36328125" style="1" bestFit="1" customWidth="1"/>
    <col min="7" max="16384" width="8.7265625" style="1"/>
  </cols>
  <sheetData>
    <row r="1" spans="1:6" x14ac:dyDescent="0.6">
      <c r="A1" s="9" t="s">
        <v>106</v>
      </c>
    </row>
    <row r="3" spans="1:6" x14ac:dyDescent="0.6">
      <c r="A3" s="2" t="s">
        <v>105</v>
      </c>
    </row>
    <row r="5" spans="1:6" x14ac:dyDescent="0.6">
      <c r="A5" s="69" t="s">
        <v>24</v>
      </c>
      <c r="B5" s="69" t="s">
        <v>3</v>
      </c>
      <c r="C5" s="69" t="s">
        <v>109</v>
      </c>
      <c r="D5" s="69" t="s">
        <v>11</v>
      </c>
      <c r="E5" s="69" t="s">
        <v>110</v>
      </c>
      <c r="F5" s="69" t="s">
        <v>111</v>
      </c>
    </row>
    <row r="6" spans="1:6" x14ac:dyDescent="0.6">
      <c r="A6" s="11" t="s">
        <v>91</v>
      </c>
      <c r="B6" s="11" t="s">
        <v>13</v>
      </c>
      <c r="C6" s="12">
        <f>'Ann 3'!G6</f>
        <v>3000000</v>
      </c>
      <c r="D6" s="12">
        <f>'Ann 3'!G24</f>
        <v>14971000</v>
      </c>
      <c r="E6" s="12">
        <v>0</v>
      </c>
      <c r="F6" s="11">
        <f>SUM(C6:E6)/100000</f>
        <v>179.71</v>
      </c>
    </row>
    <row r="7" spans="1:6" x14ac:dyDescent="0.6">
      <c r="A7" s="11" t="s">
        <v>92</v>
      </c>
      <c r="B7" s="11" t="s">
        <v>107</v>
      </c>
      <c r="C7" s="12">
        <v>0</v>
      </c>
      <c r="D7" s="12">
        <v>0</v>
      </c>
      <c r="E7" s="12">
        <v>0</v>
      </c>
      <c r="F7" s="12">
        <f>SUM(C7:E7)/100000</f>
        <v>0</v>
      </c>
    </row>
    <row r="8" spans="1:6" x14ac:dyDescent="0.6">
      <c r="A8" s="11" t="s">
        <v>101</v>
      </c>
      <c r="B8" s="11" t="s">
        <v>108</v>
      </c>
      <c r="C8" s="12">
        <v>0</v>
      </c>
      <c r="D8" s="12">
        <v>0</v>
      </c>
      <c r="E8" s="12">
        <v>0</v>
      </c>
      <c r="F8" s="12">
        <f>SUM(C8:E8)/100000</f>
        <v>0</v>
      </c>
    </row>
    <row r="9" spans="1:6" x14ac:dyDescent="0.6">
      <c r="A9" s="11"/>
      <c r="B9" s="107" t="s">
        <v>8</v>
      </c>
      <c r="C9" s="107"/>
      <c r="D9" s="107"/>
      <c r="E9" s="107"/>
      <c r="F9" s="11">
        <f>SUM(F6:F8)</f>
        <v>179.71</v>
      </c>
    </row>
    <row r="11" spans="1:6" s="9" customFormat="1" x14ac:dyDescent="0.6">
      <c r="A11" s="73"/>
      <c r="B11" s="73" t="s">
        <v>112</v>
      </c>
      <c r="C11" s="91">
        <v>0.1</v>
      </c>
      <c r="D11" s="92">
        <v>0.15</v>
      </c>
      <c r="E11" s="91">
        <v>0.1</v>
      </c>
      <c r="F11" s="73" t="s">
        <v>8</v>
      </c>
    </row>
    <row r="12" spans="1:6" x14ac:dyDescent="0.6">
      <c r="A12" s="88" t="s">
        <v>113</v>
      </c>
      <c r="B12" s="89">
        <v>1</v>
      </c>
      <c r="C12" s="90">
        <f>C11*C6</f>
        <v>300000</v>
      </c>
      <c r="D12" s="14">
        <f>D11*D6</f>
        <v>2245650</v>
      </c>
      <c r="E12" s="90">
        <f>E11*E6</f>
        <v>0</v>
      </c>
      <c r="F12" s="90">
        <f>SUM(C12:E12)</f>
        <v>2545650</v>
      </c>
    </row>
    <row r="13" spans="1:6" x14ac:dyDescent="0.6">
      <c r="A13" s="88" t="s">
        <v>113</v>
      </c>
      <c r="B13" s="89">
        <v>2</v>
      </c>
      <c r="C13" s="90">
        <f>(C6-C12)*C11</f>
        <v>270000</v>
      </c>
      <c r="D13" s="14">
        <f>(D6-D12)*D11</f>
        <v>1908802.5</v>
      </c>
      <c r="E13" s="90">
        <f>(E6-E12)*E11</f>
        <v>0</v>
      </c>
      <c r="F13" s="90">
        <f>SUM(C13:E13)</f>
        <v>2178802.5</v>
      </c>
    </row>
    <row r="14" spans="1:6" x14ac:dyDescent="0.6">
      <c r="A14" s="88" t="s">
        <v>113</v>
      </c>
      <c r="B14" s="89">
        <v>3</v>
      </c>
      <c r="C14" s="90">
        <f>(C6-C12-C13)*C11</f>
        <v>243000</v>
      </c>
      <c r="D14" s="14">
        <f>(D6-D12-D13)*D11</f>
        <v>1622482.125</v>
      </c>
      <c r="E14" s="90">
        <f>(E6-E12-E13)*E11</f>
        <v>0</v>
      </c>
      <c r="F14" s="90">
        <f t="shared" ref="F14:F20" si="0">SUM(C14:E14)</f>
        <v>1865482.125</v>
      </c>
    </row>
    <row r="15" spans="1:6" x14ac:dyDescent="0.6">
      <c r="A15" s="88" t="s">
        <v>113</v>
      </c>
      <c r="B15" s="89">
        <v>4</v>
      </c>
      <c r="C15" s="90">
        <f>(C6-C12-C13-C14)*C11</f>
        <v>218700</v>
      </c>
      <c r="D15" s="14">
        <f>(D6-D12-D13-D14)*D11</f>
        <v>1379109.8062499999</v>
      </c>
      <c r="E15" s="90">
        <f>(E6-E12-E13-E14)*E11</f>
        <v>0</v>
      </c>
      <c r="F15" s="90">
        <f t="shared" si="0"/>
        <v>1597809.8062499999</v>
      </c>
    </row>
    <row r="16" spans="1:6" x14ac:dyDescent="0.6">
      <c r="A16" s="88" t="s">
        <v>113</v>
      </c>
      <c r="B16" s="89">
        <v>5</v>
      </c>
      <c r="C16" s="90">
        <f>(C6-C12-C13-C14-C15)*C11</f>
        <v>196830</v>
      </c>
      <c r="D16" s="14">
        <f>(D6-D12-D13-D14-D15)*D11</f>
        <v>1172243.3353124999</v>
      </c>
      <c r="E16" s="90">
        <f>(E6-E12-E13-E14-E15)*E11</f>
        <v>0</v>
      </c>
      <c r="F16" s="90">
        <f t="shared" si="0"/>
        <v>1369073.3353124999</v>
      </c>
    </row>
    <row r="17" spans="1:6" x14ac:dyDescent="0.6">
      <c r="A17" s="88" t="s">
        <v>113</v>
      </c>
      <c r="B17" s="89">
        <v>6</v>
      </c>
      <c r="C17" s="90">
        <f>(C6-C12-C13-C14-C15-C16)*C11</f>
        <v>177147</v>
      </c>
      <c r="D17" s="14">
        <f>(D6-D12-D13-D14-D15-D16)*D11</f>
        <v>996406.83501562499</v>
      </c>
      <c r="E17" s="90">
        <f>(E6-E12-E13-E14-E15-E16)*E11</f>
        <v>0</v>
      </c>
      <c r="F17" s="90">
        <f t="shared" si="0"/>
        <v>1173553.835015625</v>
      </c>
    </row>
    <row r="18" spans="1:6" x14ac:dyDescent="0.6">
      <c r="A18" s="88" t="s">
        <v>113</v>
      </c>
      <c r="B18" s="89">
        <v>7</v>
      </c>
      <c r="C18" s="90">
        <f>(C6-C12-C13-C14-C15-C16-C17)*C11</f>
        <v>159432.30000000002</v>
      </c>
      <c r="D18" s="14">
        <f>(D6-D12-D13-D14-D15-D16-D17)*D11</f>
        <v>846945.80976328126</v>
      </c>
      <c r="E18" s="90">
        <f>(E6-E12-E13-E14-E15-E16-E17)*E11</f>
        <v>0</v>
      </c>
      <c r="F18" s="90">
        <f t="shared" si="0"/>
        <v>1006378.1097632813</v>
      </c>
    </row>
    <row r="19" spans="1:6" x14ac:dyDescent="0.6">
      <c r="A19" s="88" t="s">
        <v>113</v>
      </c>
      <c r="B19" s="89">
        <v>8</v>
      </c>
      <c r="C19" s="90">
        <f>(C6-C12-C13-C14-C15-C16-C17-C18)*C11</f>
        <v>143489.07</v>
      </c>
      <c r="D19" s="14">
        <f>(D6-D12-D13-D14-D15-D16-D17-D18)*D11</f>
        <v>719903.93829878897</v>
      </c>
      <c r="E19" s="90">
        <f>(E6-E12-E13-E14-E15-E16-E17-E18)*E11</f>
        <v>0</v>
      </c>
      <c r="F19" s="90">
        <f t="shared" si="0"/>
        <v>863393.00829878892</v>
      </c>
    </row>
    <row r="20" spans="1:6" x14ac:dyDescent="0.6">
      <c r="A20" s="88" t="s">
        <v>113</v>
      </c>
      <c r="B20" s="89">
        <v>9</v>
      </c>
      <c r="C20" s="90">
        <f>(C6-C12-C13-C14-C15-C16-C17-C18-C19)*C11</f>
        <v>129140.163</v>
      </c>
      <c r="D20" s="14">
        <f>(D6-D12-D13-D14-D15-D16-D17-D18-D19)*D11</f>
        <v>611918.34755397064</v>
      </c>
      <c r="E20" s="90">
        <f>(E6-E12-E13-E14-E15-E16-E17-E18-E19)*E11</f>
        <v>0</v>
      </c>
      <c r="F20" s="90">
        <f t="shared" si="0"/>
        <v>741058.5105539707</v>
      </c>
    </row>
    <row r="21" spans="1:6" x14ac:dyDescent="0.6">
      <c r="B21" s="17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D11" sqref="D11"/>
    </sheetView>
  </sheetViews>
  <sheetFormatPr defaultRowHeight="17" x14ac:dyDescent="0.6"/>
  <cols>
    <col min="1" max="1" width="18" style="1" bestFit="1" customWidth="1"/>
    <col min="2" max="10" width="13.6328125" style="1" bestFit="1" customWidth="1"/>
    <col min="11" max="16384" width="8.7265625" style="1"/>
  </cols>
  <sheetData>
    <row r="1" spans="1:10" x14ac:dyDescent="0.6">
      <c r="A1" s="9" t="s">
        <v>178</v>
      </c>
    </row>
    <row r="3" spans="1:10" x14ac:dyDescent="0.6">
      <c r="A3" s="2" t="s">
        <v>179</v>
      </c>
    </row>
    <row r="5" spans="1:10" x14ac:dyDescent="0.6">
      <c r="A5" s="105" t="s">
        <v>3</v>
      </c>
      <c r="B5" s="105" t="s">
        <v>58</v>
      </c>
      <c r="C5" s="105"/>
      <c r="D5" s="105"/>
      <c r="E5" s="105"/>
      <c r="F5" s="105"/>
      <c r="G5" s="105"/>
      <c r="H5" s="105"/>
      <c r="I5" s="105"/>
      <c r="J5" s="105"/>
    </row>
    <row r="6" spans="1:10" x14ac:dyDescent="0.6">
      <c r="A6" s="105"/>
      <c r="B6" s="77" t="s">
        <v>49</v>
      </c>
      <c r="C6" s="77" t="s">
        <v>50</v>
      </c>
      <c r="D6" s="77" t="s">
        <v>51</v>
      </c>
      <c r="E6" s="77" t="s">
        <v>52</v>
      </c>
      <c r="F6" s="77" t="s">
        <v>53</v>
      </c>
      <c r="G6" s="77" t="s">
        <v>54</v>
      </c>
      <c r="H6" s="77" t="s">
        <v>55</v>
      </c>
      <c r="I6" s="77" t="s">
        <v>56</v>
      </c>
      <c r="J6" s="77" t="s">
        <v>57</v>
      </c>
    </row>
    <row r="7" spans="1:10" x14ac:dyDescent="0.6">
      <c r="A7" s="11" t="s">
        <v>182</v>
      </c>
      <c r="B7" s="12">
        <f>'Ann 4'!C20</f>
        <v>2120440</v>
      </c>
      <c r="C7" s="12">
        <f>'Ann 4'!D20</f>
        <v>2398543.7500000005</v>
      </c>
      <c r="D7" s="12">
        <f>'Ann 4'!E20</f>
        <v>2780153.75</v>
      </c>
      <c r="E7" s="12">
        <f>'Ann 4'!F20</f>
        <v>3161763.7500000005</v>
      </c>
      <c r="F7" s="12">
        <f>'Ann 4'!G20</f>
        <v>3543373.7500000005</v>
      </c>
      <c r="G7" s="12">
        <f>'Ann 4'!H20</f>
        <v>3924983.7500000005</v>
      </c>
      <c r="H7" s="12">
        <f>'Ann 4'!I20</f>
        <v>4090593.7500000005</v>
      </c>
      <c r="I7" s="12">
        <f>'Ann 4'!J20</f>
        <v>4194100</v>
      </c>
      <c r="J7" s="12">
        <f>'Ann 4'!K20</f>
        <v>4194100</v>
      </c>
    </row>
    <row r="8" spans="1:10" x14ac:dyDescent="0.6">
      <c r="A8" s="11" t="s">
        <v>183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x14ac:dyDescent="0.6">
      <c r="A9" s="11" t="s">
        <v>184</v>
      </c>
      <c r="B9" s="12">
        <f>B7+B8</f>
        <v>2120440</v>
      </c>
      <c r="C9" s="12">
        <f t="shared" ref="C9:J9" si="0">C7+C8</f>
        <v>2398543.7500000005</v>
      </c>
      <c r="D9" s="12">
        <f t="shared" si="0"/>
        <v>2780153.75</v>
      </c>
      <c r="E9" s="12">
        <f t="shared" si="0"/>
        <v>3161763.7500000005</v>
      </c>
      <c r="F9" s="12">
        <f t="shared" si="0"/>
        <v>3543373.7500000005</v>
      </c>
      <c r="G9" s="12">
        <f t="shared" si="0"/>
        <v>3924983.7500000005</v>
      </c>
      <c r="H9" s="12">
        <f t="shared" si="0"/>
        <v>4090593.7500000005</v>
      </c>
      <c r="I9" s="12">
        <f t="shared" si="0"/>
        <v>4194100</v>
      </c>
      <c r="J9" s="12">
        <f t="shared" si="0"/>
        <v>4194100</v>
      </c>
    </row>
    <row r="10" spans="1:10" x14ac:dyDescent="0.6">
      <c r="A10" s="11" t="s">
        <v>185</v>
      </c>
      <c r="B10" s="12">
        <f>SUM('Ann 9'!C12:E12)</f>
        <v>2545650</v>
      </c>
      <c r="C10" s="12">
        <f>SUM('Ann 9'!C13:E13)</f>
        <v>2178802.5</v>
      </c>
      <c r="D10" s="12">
        <f>SUM('Ann 9'!C14:E14)</f>
        <v>1865482.125</v>
      </c>
      <c r="E10" s="12">
        <f>SUM('Ann 9'!C15:E15)</f>
        <v>1597809.8062499999</v>
      </c>
      <c r="F10" s="12">
        <f>SUM('Ann 9'!C16:E16)</f>
        <v>1369073.3353124999</v>
      </c>
      <c r="G10" s="12">
        <f>SUM('Ann 9'!C17:E17)</f>
        <v>1173553.835015625</v>
      </c>
      <c r="H10" s="12">
        <f>SUM('Ann 9'!C18:E18)</f>
        <v>1006378.1097632813</v>
      </c>
      <c r="I10" s="12">
        <f>SUM('Ann 9'!C19:E19)</f>
        <v>863393.00829878892</v>
      </c>
      <c r="J10" s="12">
        <f>SUM('Ann 9'!C20:E20)</f>
        <v>741058.5105539707</v>
      </c>
    </row>
    <row r="11" spans="1:10" x14ac:dyDescent="0.6">
      <c r="A11" s="11" t="s">
        <v>184</v>
      </c>
      <c r="B11" s="12">
        <f>B9-B10</f>
        <v>-425210</v>
      </c>
      <c r="C11" s="12">
        <f t="shared" ref="C11:J11" si="1">C9-C10</f>
        <v>219741.25000000047</v>
      </c>
      <c r="D11" s="12">
        <f t="shared" si="1"/>
        <v>914671.625</v>
      </c>
      <c r="E11" s="12">
        <f t="shared" si="1"/>
        <v>1563953.9437500006</v>
      </c>
      <c r="F11" s="12">
        <f t="shared" si="1"/>
        <v>2174300.4146875003</v>
      </c>
      <c r="G11" s="12">
        <f t="shared" si="1"/>
        <v>2751429.9149843752</v>
      </c>
      <c r="H11" s="12">
        <f t="shared" si="1"/>
        <v>3084215.640236719</v>
      </c>
      <c r="I11" s="12">
        <f t="shared" si="1"/>
        <v>3330706.9917012108</v>
      </c>
      <c r="J11" s="12">
        <f t="shared" si="1"/>
        <v>3453041.4894460291</v>
      </c>
    </row>
    <row r="12" spans="1:10" x14ac:dyDescent="0.6">
      <c r="A12" s="11" t="s">
        <v>186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1:10" x14ac:dyDescent="0.6">
      <c r="A13" s="11" t="s">
        <v>187</v>
      </c>
      <c r="B13" s="14">
        <f>B11</f>
        <v>-425210</v>
      </c>
      <c r="C13" s="14">
        <f t="shared" ref="C13:J13" si="2">C11</f>
        <v>219741.25000000047</v>
      </c>
      <c r="D13" s="14">
        <f t="shared" si="2"/>
        <v>914671.625</v>
      </c>
      <c r="E13" s="14">
        <f t="shared" si="2"/>
        <v>1563953.9437500006</v>
      </c>
      <c r="F13" s="14">
        <f t="shared" si="2"/>
        <v>2174300.4146875003</v>
      </c>
      <c r="G13" s="14">
        <f t="shared" si="2"/>
        <v>2751429.9149843752</v>
      </c>
      <c r="H13" s="14">
        <f t="shared" si="2"/>
        <v>3084215.640236719</v>
      </c>
      <c r="I13" s="14">
        <f t="shared" si="2"/>
        <v>3330706.9917012108</v>
      </c>
      <c r="J13" s="14">
        <f t="shared" si="2"/>
        <v>3453041.4894460291</v>
      </c>
    </row>
    <row r="14" spans="1:10" x14ac:dyDescent="0.6">
      <c r="A14" s="11" t="s">
        <v>188</v>
      </c>
      <c r="B14" s="14">
        <f>B13*30%</f>
        <v>-127563</v>
      </c>
      <c r="C14" s="14">
        <f t="shared" ref="C14:J14" si="3">C13*30%</f>
        <v>65922.375000000131</v>
      </c>
      <c r="D14" s="14">
        <f t="shared" si="3"/>
        <v>274401.48749999999</v>
      </c>
      <c r="E14" s="14">
        <f t="shared" si="3"/>
        <v>469186.18312500016</v>
      </c>
      <c r="F14" s="14">
        <f t="shared" si="3"/>
        <v>652290.12440625008</v>
      </c>
      <c r="G14" s="14">
        <f t="shared" si="3"/>
        <v>825428.97449531255</v>
      </c>
      <c r="H14" s="14">
        <f t="shared" si="3"/>
        <v>925264.69207101571</v>
      </c>
      <c r="I14" s="14">
        <f t="shared" si="3"/>
        <v>999212.09751036321</v>
      </c>
      <c r="J14" s="14">
        <f t="shared" si="3"/>
        <v>1035912.4468338087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F46"/>
  <sheetViews>
    <sheetView workbookViewId="0">
      <selection activeCell="F4" sqref="F4"/>
    </sheetView>
  </sheetViews>
  <sheetFormatPr defaultRowHeight="17" x14ac:dyDescent="0.6"/>
  <cols>
    <col min="1" max="1" width="8.7265625" style="1"/>
    <col min="2" max="2" width="23.54296875" style="1" bestFit="1" customWidth="1"/>
    <col min="3" max="3" width="8.7265625" style="1"/>
    <col min="4" max="4" width="14.6328125" style="1" bestFit="1" customWidth="1"/>
    <col min="5" max="5" width="12.54296875" style="1" bestFit="1" customWidth="1"/>
    <col min="6" max="6" width="13.6328125" style="1" bestFit="1" customWidth="1"/>
    <col min="7" max="15" width="8.7265625" style="1"/>
    <col min="16" max="16" width="13.6328125" style="1" bestFit="1" customWidth="1"/>
    <col min="17" max="17" width="12.54296875" style="1" bestFit="1" customWidth="1"/>
    <col min="18" max="16384" width="8.7265625" style="1"/>
  </cols>
  <sheetData>
    <row r="1" spans="1:6" x14ac:dyDescent="0.6">
      <c r="A1" s="1" t="s">
        <v>114</v>
      </c>
    </row>
    <row r="3" spans="1:6" x14ac:dyDescent="0.6">
      <c r="A3" s="2" t="s">
        <v>115</v>
      </c>
    </row>
    <row r="5" spans="1:6" x14ac:dyDescent="0.6">
      <c r="B5" s="1" t="s">
        <v>62</v>
      </c>
      <c r="F5" s="3" t="e">
        <f>(3000000*Budgets!#REF!)+(3000000*Budgets!#REF!)</f>
        <v>#REF!</v>
      </c>
    </row>
    <row r="6" spans="1:6" x14ac:dyDescent="0.6">
      <c r="B6" s="1" t="s">
        <v>116</v>
      </c>
    </row>
    <row r="7" spans="1:6" x14ac:dyDescent="0.6">
      <c r="B7" s="1" t="s">
        <v>117</v>
      </c>
      <c r="F7" s="5" t="e">
        <f>F5-#REF!</f>
        <v>#REF!</v>
      </c>
    </row>
    <row r="8" spans="1:6" x14ac:dyDescent="0.6">
      <c r="B8" s="1" t="s">
        <v>118</v>
      </c>
    </row>
    <row r="9" spans="1:6" x14ac:dyDescent="0.6">
      <c r="B9" s="1" t="s">
        <v>119</v>
      </c>
      <c r="F9" s="5">
        <f>'Ann 7'!E13+'Ann 8'!E14</f>
        <v>5397600</v>
      </c>
    </row>
    <row r="10" spans="1:6" x14ac:dyDescent="0.6">
      <c r="B10" s="1" t="s">
        <v>128</v>
      </c>
      <c r="F10" s="5">
        <v>350000</v>
      </c>
    </row>
    <row r="11" spans="1:6" x14ac:dyDescent="0.6">
      <c r="B11" s="1" t="s">
        <v>120</v>
      </c>
      <c r="F11" s="5">
        <v>1200000</v>
      </c>
    </row>
    <row r="12" spans="1:6" x14ac:dyDescent="0.6">
      <c r="B12" s="1" t="s">
        <v>121</v>
      </c>
      <c r="F12" s="5">
        <v>200000</v>
      </c>
    </row>
    <row r="13" spans="1:6" x14ac:dyDescent="0.6">
      <c r="B13" s="1" t="s">
        <v>122</v>
      </c>
      <c r="F13" s="5">
        <f>SUM('Ann 9'!C12:D20)</f>
        <v>13341201.230194168</v>
      </c>
    </row>
    <row r="14" spans="1:6" x14ac:dyDescent="0.6">
      <c r="B14" s="1" t="s">
        <v>131</v>
      </c>
      <c r="F14" s="5">
        <f>SUM(F9:F13)</f>
        <v>20488801.230194166</v>
      </c>
    </row>
    <row r="16" spans="1:6" x14ac:dyDescent="0.6">
      <c r="D16" s="1" t="s">
        <v>135</v>
      </c>
      <c r="E16" s="1" t="s">
        <v>134</v>
      </c>
    </row>
    <row r="17" spans="2:6" x14ac:dyDescent="0.6">
      <c r="D17" s="1" t="s">
        <v>136</v>
      </c>
      <c r="E17" s="1" t="s">
        <v>136</v>
      </c>
    </row>
    <row r="18" spans="2:6" x14ac:dyDescent="0.6">
      <c r="B18" s="1" t="s">
        <v>147</v>
      </c>
      <c r="D18" s="1" t="e">
        <f>Budgets!#REF!</f>
        <v>#REF!</v>
      </c>
      <c r="E18" s="1" t="e">
        <f>Budgets!#REF!</f>
        <v>#REF!</v>
      </c>
      <c r="F18" s="7"/>
    </row>
    <row r="19" spans="2:6" x14ac:dyDescent="0.6">
      <c r="B19" s="4" t="s">
        <v>146</v>
      </c>
      <c r="D19" s="1">
        <v>8</v>
      </c>
      <c r="E19" s="1">
        <v>12</v>
      </c>
      <c r="F19" s="7"/>
    </row>
    <row r="20" spans="2:6" x14ac:dyDescent="0.6">
      <c r="B20" s="4" t="s">
        <v>144</v>
      </c>
      <c r="D20" s="1">
        <f>D19*10%</f>
        <v>0.8</v>
      </c>
      <c r="E20" s="1">
        <f>E19*10%</f>
        <v>1.2000000000000002</v>
      </c>
      <c r="F20" s="7"/>
    </row>
    <row r="21" spans="2:6" x14ac:dyDescent="0.6">
      <c r="B21" s="4" t="s">
        <v>145</v>
      </c>
      <c r="D21" s="1" t="e">
        <f>D18*5%</f>
        <v>#REF!</v>
      </c>
      <c r="E21" s="1" t="e">
        <f>E18*5%</f>
        <v>#REF!</v>
      </c>
      <c r="F21" s="7"/>
    </row>
    <row r="22" spans="2:6" x14ac:dyDescent="0.6">
      <c r="B22" s="4" t="s">
        <v>143</v>
      </c>
      <c r="D22" s="1">
        <f>150000/6000000</f>
        <v>2.5000000000000001E-2</v>
      </c>
      <c r="E22" s="1">
        <f>150000/6000000</f>
        <v>2.5000000000000001E-2</v>
      </c>
      <c r="F22" s="7"/>
    </row>
    <row r="23" spans="2:6" x14ac:dyDescent="0.6">
      <c r="B23" s="1" t="s">
        <v>142</v>
      </c>
      <c r="D23" s="1">
        <v>2</v>
      </c>
      <c r="E23" s="1">
        <v>2</v>
      </c>
      <c r="F23" s="7"/>
    </row>
    <row r="24" spans="2:6" x14ac:dyDescent="0.6">
      <c r="B24" s="1" t="s">
        <v>141</v>
      </c>
      <c r="D24" s="6" t="e">
        <f>#REF!/6000000</f>
        <v>#REF!</v>
      </c>
      <c r="E24" s="6" t="e">
        <f>#REF!/6000000</f>
        <v>#REF!</v>
      </c>
      <c r="F24" s="7"/>
    </row>
    <row r="25" spans="2:6" x14ac:dyDescent="0.6">
      <c r="B25" s="1" t="s">
        <v>137</v>
      </c>
      <c r="D25" s="1" t="e">
        <f>D18-D19-D20-D21-D22-D23-D24</f>
        <v>#REF!</v>
      </c>
      <c r="E25" s="1" t="e">
        <f>E18-E19-E20-E21-E22-E23-E24</f>
        <v>#REF!</v>
      </c>
      <c r="F25" s="7"/>
    </row>
    <row r="26" spans="2:6" x14ac:dyDescent="0.6">
      <c r="B26" s="1" t="s">
        <v>138</v>
      </c>
      <c r="D26" s="1" t="e">
        <f>D25/D18*100</f>
        <v>#REF!</v>
      </c>
      <c r="E26" s="1" t="e">
        <f>E25/E18*100</f>
        <v>#REF!</v>
      </c>
      <c r="F26" s="7"/>
    </row>
    <row r="27" spans="2:6" x14ac:dyDescent="0.6">
      <c r="B27" s="1" t="s">
        <v>140</v>
      </c>
      <c r="D27" s="1">
        <v>50</v>
      </c>
      <c r="E27" s="1">
        <v>50</v>
      </c>
      <c r="F27" s="7"/>
    </row>
    <row r="28" spans="2:6" x14ac:dyDescent="0.6">
      <c r="B28" s="1" t="s">
        <v>139</v>
      </c>
      <c r="D28" s="1" t="e">
        <f>D26*D27/100</f>
        <v>#REF!</v>
      </c>
      <c r="E28" s="1" t="e">
        <f>E26*E27/100</f>
        <v>#REF!</v>
      </c>
      <c r="F28" s="1" t="e">
        <f>SUM(D28:E28)</f>
        <v>#REF!</v>
      </c>
    </row>
    <row r="30" spans="2:6" x14ac:dyDescent="0.6">
      <c r="B30" s="1" t="s">
        <v>130</v>
      </c>
      <c r="D30" s="5">
        <f>F14</f>
        <v>20488801.230194166</v>
      </c>
    </row>
    <row r="31" spans="2:6" x14ac:dyDescent="0.6">
      <c r="B31" s="1" t="s">
        <v>132</v>
      </c>
      <c r="D31" s="6" t="e">
        <f>D30/F28%</f>
        <v>#REF!</v>
      </c>
    </row>
    <row r="32" spans="2:6" x14ac:dyDescent="0.6">
      <c r="B32" s="1" t="s">
        <v>133</v>
      </c>
      <c r="D32" s="6" t="e">
        <f>D31/2</f>
        <v>#REF!</v>
      </c>
    </row>
    <row r="33" spans="1:4" x14ac:dyDescent="0.6">
      <c r="B33" s="1" t="s">
        <v>134</v>
      </c>
      <c r="D33" s="6" t="e">
        <f>D31/2</f>
        <v>#REF!</v>
      </c>
    </row>
    <row r="35" spans="1:4" x14ac:dyDescent="0.6">
      <c r="B35" s="1" t="s">
        <v>148</v>
      </c>
      <c r="D35" s="6" t="e">
        <f>D32/D18</f>
        <v>#REF!</v>
      </c>
    </row>
    <row r="36" spans="1:4" x14ac:dyDescent="0.6">
      <c r="B36" s="1" t="s">
        <v>149</v>
      </c>
      <c r="D36" s="6" t="e">
        <f>D33/E18</f>
        <v>#REF!</v>
      </c>
    </row>
    <row r="38" spans="1:4" x14ac:dyDescent="0.6">
      <c r="B38" s="1" t="s">
        <v>180</v>
      </c>
      <c r="D38" s="8" t="e">
        <f>D35/3000000</f>
        <v>#REF!</v>
      </c>
    </row>
    <row r="39" spans="1:4" x14ac:dyDescent="0.6">
      <c r="B39" s="1" t="s">
        <v>181</v>
      </c>
      <c r="D39" s="8" t="e">
        <f>D36/3000000</f>
        <v>#REF!</v>
      </c>
    </row>
    <row r="40" spans="1:4" x14ac:dyDescent="0.6">
      <c r="B40" s="1" t="s">
        <v>229</v>
      </c>
      <c r="D40" s="8" t="e">
        <f>(D36+D35)/6000000</f>
        <v>#REF!</v>
      </c>
    </row>
    <row r="41" spans="1:4" x14ac:dyDescent="0.6">
      <c r="D41" s="8"/>
    </row>
    <row r="42" spans="1:4" x14ac:dyDescent="0.6">
      <c r="A42" s="1" t="s">
        <v>228</v>
      </c>
    </row>
    <row r="43" spans="1:4" x14ac:dyDescent="0.6">
      <c r="A43" s="1" t="s">
        <v>233</v>
      </c>
    </row>
    <row r="44" spans="1:4" x14ac:dyDescent="0.6">
      <c r="A44" s="1" t="s">
        <v>125</v>
      </c>
    </row>
    <row r="45" spans="1:4" x14ac:dyDescent="0.6">
      <c r="A45" s="1" t="s">
        <v>126</v>
      </c>
    </row>
    <row r="46" spans="1:4" x14ac:dyDescent="0.6">
      <c r="A46" s="1" t="s">
        <v>129</v>
      </c>
    </row>
  </sheetData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150</v>
      </c>
    </row>
    <row r="3" spans="1:11" x14ac:dyDescent="0.35">
      <c r="C3" s="108" t="s">
        <v>151</v>
      </c>
      <c r="D3" s="108"/>
      <c r="E3" s="108"/>
      <c r="F3" s="108"/>
      <c r="G3" s="108"/>
      <c r="H3" s="108"/>
      <c r="I3" s="108"/>
      <c r="J3" s="108"/>
      <c r="K3" s="108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152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153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154</v>
      </c>
    </row>
  </sheetData>
  <mergeCells count="1">
    <mergeCell ref="C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topLeftCell="A3" workbookViewId="0">
      <selection activeCell="E13" sqref="E13"/>
    </sheetView>
  </sheetViews>
  <sheetFormatPr defaultRowHeight="17" x14ac:dyDescent="0.6"/>
  <cols>
    <col min="1" max="1" width="4.54296875" style="1" bestFit="1" customWidth="1"/>
    <col min="2" max="2" width="7.36328125" style="1" bestFit="1" customWidth="1"/>
    <col min="3" max="3" width="17.81640625" style="1" bestFit="1" customWidth="1"/>
    <col min="4" max="4" width="17.36328125" style="1" bestFit="1" customWidth="1"/>
    <col min="5" max="5" width="7.26953125" style="1" bestFit="1" customWidth="1"/>
    <col min="6" max="16384" width="8.7265625" style="1"/>
  </cols>
  <sheetData>
    <row r="1" spans="1:7" x14ac:dyDescent="0.6">
      <c r="A1" s="9" t="s">
        <v>161</v>
      </c>
    </row>
    <row r="3" spans="1:7" x14ac:dyDescent="0.6">
      <c r="A3" s="2" t="s">
        <v>162</v>
      </c>
    </row>
    <row r="4" spans="1:7" x14ac:dyDescent="0.6">
      <c r="A4" s="1" t="s">
        <v>163</v>
      </c>
      <c r="D4" s="53">
        <f>'Ann 2'!C6</f>
        <v>165.60999999999999</v>
      </c>
    </row>
    <row r="5" spans="1:7" x14ac:dyDescent="0.6">
      <c r="A5" s="1" t="s">
        <v>164</v>
      </c>
      <c r="D5" s="15">
        <v>0.06</v>
      </c>
    </row>
    <row r="6" spans="1:7" x14ac:dyDescent="0.6">
      <c r="A6" s="1" t="s">
        <v>165</v>
      </c>
      <c r="D6" s="16" t="s">
        <v>166</v>
      </c>
    </row>
    <row r="8" spans="1:7" x14ac:dyDescent="0.6">
      <c r="A8" s="69" t="s">
        <v>113</v>
      </c>
      <c r="B8" s="69" t="s">
        <v>167</v>
      </c>
      <c r="C8" s="69" t="s">
        <v>168</v>
      </c>
      <c r="D8" s="69" t="s">
        <v>170</v>
      </c>
      <c r="E8" s="69" t="s">
        <v>169</v>
      </c>
    </row>
    <row r="9" spans="1:7" x14ac:dyDescent="0.6">
      <c r="A9" s="109">
        <v>1</v>
      </c>
      <c r="B9" s="11">
        <v>1</v>
      </c>
      <c r="C9" s="54">
        <f>$D$4</f>
        <v>165.60999999999999</v>
      </c>
      <c r="D9" s="11">
        <v>0</v>
      </c>
      <c r="E9" s="11">
        <f t="shared" ref="E9:E14" si="0">C9*6%/4</f>
        <v>2.4841499999999996</v>
      </c>
    </row>
    <row r="10" spans="1:7" x14ac:dyDescent="0.6">
      <c r="A10" s="109"/>
      <c r="B10" s="11">
        <v>2</v>
      </c>
      <c r="C10" s="54">
        <f>$D$4</f>
        <v>165.60999999999999</v>
      </c>
      <c r="D10" s="11">
        <v>0</v>
      </c>
      <c r="E10" s="11">
        <f t="shared" si="0"/>
        <v>2.4841499999999996</v>
      </c>
      <c r="G10" s="45">
        <f>230/24</f>
        <v>9.5833333333333339</v>
      </c>
    </row>
    <row r="11" spans="1:7" x14ac:dyDescent="0.6">
      <c r="A11" s="109"/>
      <c r="B11" s="11">
        <v>3</v>
      </c>
      <c r="C11" s="54">
        <f>$D$4</f>
        <v>165.60999999999999</v>
      </c>
      <c r="D11" s="11">
        <v>0</v>
      </c>
      <c r="E11" s="11">
        <f t="shared" si="0"/>
        <v>2.4841499999999996</v>
      </c>
    </row>
    <row r="12" spans="1:7" x14ac:dyDescent="0.6">
      <c r="A12" s="109"/>
      <c r="B12" s="11">
        <v>4</v>
      </c>
      <c r="C12" s="54">
        <f>$D$4</f>
        <v>165.60999999999999</v>
      </c>
      <c r="D12" s="11">
        <v>0</v>
      </c>
      <c r="E12" s="11">
        <f t="shared" si="0"/>
        <v>2.4841499999999996</v>
      </c>
    </row>
    <row r="13" spans="1:7" x14ac:dyDescent="0.6">
      <c r="A13" s="109">
        <v>2</v>
      </c>
      <c r="B13" s="11">
        <v>1</v>
      </c>
      <c r="C13" s="54">
        <f>$D$4</f>
        <v>165.60999999999999</v>
      </c>
      <c r="D13" s="11">
        <f>D4/24</f>
        <v>6.9004166666666658</v>
      </c>
      <c r="E13" s="11">
        <f t="shared" si="0"/>
        <v>2.4841499999999996</v>
      </c>
    </row>
    <row r="14" spans="1:7" x14ac:dyDescent="0.6">
      <c r="A14" s="109"/>
      <c r="B14" s="11">
        <v>2</v>
      </c>
      <c r="C14" s="11">
        <f>C13-D13</f>
        <v>158.70958333333331</v>
      </c>
      <c r="D14" s="11">
        <f>D13</f>
        <v>6.9004166666666658</v>
      </c>
      <c r="E14" s="11">
        <f t="shared" si="0"/>
        <v>2.3806437499999995</v>
      </c>
    </row>
    <row r="15" spans="1:7" x14ac:dyDescent="0.6">
      <c r="A15" s="109"/>
      <c r="B15" s="11">
        <v>3</v>
      </c>
      <c r="C15" s="11">
        <f>C14-D14</f>
        <v>151.80916666666664</v>
      </c>
      <c r="D15" s="11">
        <f t="shared" ref="D15:D35" si="1">D14</f>
        <v>6.9004166666666658</v>
      </c>
      <c r="E15" s="11">
        <f t="shared" ref="E15:E24" si="2">C15*6%/4</f>
        <v>2.2771374999999994</v>
      </c>
    </row>
    <row r="16" spans="1:7" x14ac:dyDescent="0.6">
      <c r="A16" s="109"/>
      <c r="B16" s="11">
        <v>4</v>
      </c>
      <c r="C16" s="11">
        <f>C15-D15</f>
        <v>144.90874999999997</v>
      </c>
      <c r="D16" s="11">
        <f t="shared" si="1"/>
        <v>6.9004166666666658</v>
      </c>
      <c r="E16" s="11">
        <f t="shared" si="2"/>
        <v>2.1736312499999992</v>
      </c>
    </row>
    <row r="17" spans="1:5" x14ac:dyDescent="0.6">
      <c r="A17" s="109">
        <v>3</v>
      </c>
      <c r="B17" s="11">
        <v>1</v>
      </c>
      <c r="C17" s="11">
        <f>C16-D16</f>
        <v>138.0083333333333</v>
      </c>
      <c r="D17" s="11">
        <f t="shared" si="1"/>
        <v>6.9004166666666658</v>
      </c>
      <c r="E17" s="11">
        <f t="shared" si="2"/>
        <v>2.0701249999999995</v>
      </c>
    </row>
    <row r="18" spans="1:5" x14ac:dyDescent="0.6">
      <c r="A18" s="109"/>
      <c r="B18" s="11">
        <v>2</v>
      </c>
      <c r="C18" s="11">
        <f t="shared" ref="C18:C36" si="3">C17-D17</f>
        <v>131.10791666666663</v>
      </c>
      <c r="D18" s="11">
        <f t="shared" si="1"/>
        <v>6.9004166666666658</v>
      </c>
      <c r="E18" s="11">
        <f t="shared" si="2"/>
        <v>1.9666187499999994</v>
      </c>
    </row>
    <row r="19" spans="1:5" x14ac:dyDescent="0.6">
      <c r="A19" s="109"/>
      <c r="B19" s="11">
        <v>3</v>
      </c>
      <c r="C19" s="11">
        <f t="shared" si="3"/>
        <v>124.20749999999995</v>
      </c>
      <c r="D19" s="11">
        <f t="shared" si="1"/>
        <v>6.9004166666666658</v>
      </c>
      <c r="E19" s="11">
        <f t="shared" si="2"/>
        <v>1.8631124999999993</v>
      </c>
    </row>
    <row r="20" spans="1:5" x14ac:dyDescent="0.6">
      <c r="A20" s="109"/>
      <c r="B20" s="11">
        <v>4</v>
      </c>
      <c r="C20" s="11">
        <f t="shared" si="3"/>
        <v>117.30708333333328</v>
      </c>
      <c r="D20" s="11">
        <f t="shared" si="1"/>
        <v>6.9004166666666658</v>
      </c>
      <c r="E20" s="11">
        <f t="shared" si="2"/>
        <v>1.7596062499999992</v>
      </c>
    </row>
    <row r="21" spans="1:5" x14ac:dyDescent="0.6">
      <c r="A21" s="109">
        <v>4</v>
      </c>
      <c r="B21" s="11">
        <v>1</v>
      </c>
      <c r="C21" s="11">
        <f t="shared" si="3"/>
        <v>110.40666666666661</v>
      </c>
      <c r="D21" s="11">
        <f t="shared" si="1"/>
        <v>6.9004166666666658</v>
      </c>
      <c r="E21" s="11">
        <f t="shared" si="2"/>
        <v>1.656099999999999</v>
      </c>
    </row>
    <row r="22" spans="1:5" x14ac:dyDescent="0.6">
      <c r="A22" s="109"/>
      <c r="B22" s="11">
        <v>2</v>
      </c>
      <c r="C22" s="11">
        <f t="shared" si="3"/>
        <v>103.50624999999994</v>
      </c>
      <c r="D22" s="11">
        <f t="shared" si="1"/>
        <v>6.9004166666666658</v>
      </c>
      <c r="E22" s="11">
        <f t="shared" si="2"/>
        <v>1.5525937499999991</v>
      </c>
    </row>
    <row r="23" spans="1:5" x14ac:dyDescent="0.6">
      <c r="A23" s="109"/>
      <c r="B23" s="11">
        <v>3</v>
      </c>
      <c r="C23" s="11">
        <f t="shared" si="3"/>
        <v>96.605833333333266</v>
      </c>
      <c r="D23" s="11">
        <f t="shared" si="1"/>
        <v>6.9004166666666658</v>
      </c>
      <c r="E23" s="11">
        <f t="shared" si="2"/>
        <v>1.449087499999999</v>
      </c>
    </row>
    <row r="24" spans="1:5" x14ac:dyDescent="0.6">
      <c r="A24" s="109"/>
      <c r="B24" s="11">
        <v>4</v>
      </c>
      <c r="C24" s="11">
        <f t="shared" si="3"/>
        <v>89.705416666666594</v>
      </c>
      <c r="D24" s="11">
        <f t="shared" si="1"/>
        <v>6.9004166666666658</v>
      </c>
      <c r="E24" s="11">
        <f t="shared" si="2"/>
        <v>1.3455812499999988</v>
      </c>
    </row>
    <row r="25" spans="1:5" x14ac:dyDescent="0.6">
      <c r="A25" s="109">
        <v>5</v>
      </c>
      <c r="B25" s="11">
        <v>1</v>
      </c>
      <c r="C25" s="11">
        <f t="shared" si="3"/>
        <v>82.804999999999922</v>
      </c>
      <c r="D25" s="11">
        <f t="shared" si="1"/>
        <v>6.9004166666666658</v>
      </c>
      <c r="E25" s="11">
        <f t="shared" ref="E25:E36" si="4">C25*6%/4</f>
        <v>1.2420749999999987</v>
      </c>
    </row>
    <row r="26" spans="1:5" x14ac:dyDescent="0.6">
      <c r="A26" s="109"/>
      <c r="B26" s="11">
        <v>2</v>
      </c>
      <c r="C26" s="11">
        <f t="shared" si="3"/>
        <v>75.90458333333325</v>
      </c>
      <c r="D26" s="11">
        <f t="shared" si="1"/>
        <v>6.9004166666666658</v>
      </c>
      <c r="E26" s="11">
        <f t="shared" si="4"/>
        <v>1.1385687499999988</v>
      </c>
    </row>
    <row r="27" spans="1:5" x14ac:dyDescent="0.6">
      <c r="A27" s="109"/>
      <c r="B27" s="11">
        <v>3</v>
      </c>
      <c r="C27" s="11">
        <f t="shared" si="3"/>
        <v>69.004166666666578</v>
      </c>
      <c r="D27" s="11">
        <f t="shared" si="1"/>
        <v>6.9004166666666658</v>
      </c>
      <c r="E27" s="11">
        <f t="shared" si="4"/>
        <v>1.0350624999999987</v>
      </c>
    </row>
    <row r="28" spans="1:5" x14ac:dyDescent="0.6">
      <c r="A28" s="109"/>
      <c r="B28" s="11">
        <v>4</v>
      </c>
      <c r="C28" s="11">
        <f t="shared" si="3"/>
        <v>62.103749999999913</v>
      </c>
      <c r="D28" s="11">
        <f t="shared" si="1"/>
        <v>6.9004166666666658</v>
      </c>
      <c r="E28" s="11">
        <f t="shared" si="4"/>
        <v>0.93155624999999864</v>
      </c>
    </row>
    <row r="29" spans="1:5" x14ac:dyDescent="0.6">
      <c r="A29" s="109">
        <v>6</v>
      </c>
      <c r="B29" s="11">
        <v>1</v>
      </c>
      <c r="C29" s="11">
        <f t="shared" si="3"/>
        <v>55.203333333333248</v>
      </c>
      <c r="D29" s="11">
        <f t="shared" si="1"/>
        <v>6.9004166666666658</v>
      </c>
      <c r="E29" s="11">
        <f t="shared" si="4"/>
        <v>0.82804999999999873</v>
      </c>
    </row>
    <row r="30" spans="1:5" x14ac:dyDescent="0.6">
      <c r="A30" s="109"/>
      <c r="B30" s="11">
        <v>2</v>
      </c>
      <c r="C30" s="11">
        <f t="shared" si="3"/>
        <v>48.302916666666583</v>
      </c>
      <c r="D30" s="11">
        <f t="shared" si="1"/>
        <v>6.9004166666666658</v>
      </c>
      <c r="E30" s="11">
        <f t="shared" si="4"/>
        <v>0.72454374999999871</v>
      </c>
    </row>
    <row r="31" spans="1:5" x14ac:dyDescent="0.6">
      <c r="A31" s="109"/>
      <c r="B31" s="11">
        <v>3</v>
      </c>
      <c r="C31" s="11">
        <f t="shared" si="3"/>
        <v>41.402499999999918</v>
      </c>
      <c r="D31" s="11">
        <f t="shared" si="1"/>
        <v>6.9004166666666658</v>
      </c>
      <c r="E31" s="11">
        <f t="shared" si="4"/>
        <v>0.6210374999999988</v>
      </c>
    </row>
    <row r="32" spans="1:5" x14ac:dyDescent="0.6">
      <c r="A32" s="109"/>
      <c r="B32" s="11">
        <v>4</v>
      </c>
      <c r="C32" s="11">
        <f t="shared" si="3"/>
        <v>34.502083333333253</v>
      </c>
      <c r="D32" s="11">
        <f t="shared" si="1"/>
        <v>6.9004166666666658</v>
      </c>
      <c r="E32" s="11">
        <f t="shared" si="4"/>
        <v>0.51753124999999878</v>
      </c>
    </row>
    <row r="33" spans="1:5" x14ac:dyDescent="0.6">
      <c r="A33" s="109">
        <v>7</v>
      </c>
      <c r="B33" s="11">
        <v>1</v>
      </c>
      <c r="C33" s="11">
        <f t="shared" si="3"/>
        <v>27.601666666666588</v>
      </c>
      <c r="D33" s="11">
        <f t="shared" si="1"/>
        <v>6.9004166666666658</v>
      </c>
      <c r="E33" s="11">
        <f t="shared" si="4"/>
        <v>0.41402499999999881</v>
      </c>
    </row>
    <row r="34" spans="1:5" x14ac:dyDescent="0.6">
      <c r="A34" s="109"/>
      <c r="B34" s="11">
        <v>2</v>
      </c>
      <c r="C34" s="11">
        <f t="shared" si="3"/>
        <v>20.701249999999924</v>
      </c>
      <c r="D34" s="11">
        <f t="shared" si="1"/>
        <v>6.9004166666666658</v>
      </c>
      <c r="E34" s="11">
        <f t="shared" si="4"/>
        <v>0.31051874999999884</v>
      </c>
    </row>
    <row r="35" spans="1:5" x14ac:dyDescent="0.6">
      <c r="A35" s="109"/>
      <c r="B35" s="11">
        <v>3</v>
      </c>
      <c r="C35" s="11">
        <f t="shared" si="3"/>
        <v>13.800833333333259</v>
      </c>
      <c r="D35" s="11">
        <f t="shared" si="1"/>
        <v>6.9004166666666658</v>
      </c>
      <c r="E35" s="11">
        <f t="shared" si="4"/>
        <v>0.20701249999999888</v>
      </c>
    </row>
    <row r="36" spans="1:5" x14ac:dyDescent="0.6">
      <c r="A36" s="109"/>
      <c r="B36" s="11">
        <v>4</v>
      </c>
      <c r="C36" s="11">
        <f t="shared" si="3"/>
        <v>6.9004166666665929</v>
      </c>
      <c r="D36" s="54">
        <f>C36</f>
        <v>6.9004166666665929</v>
      </c>
      <c r="E36" s="11">
        <f t="shared" si="4"/>
        <v>0.10350624999999888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BBF9-4B2A-4538-97A0-FFA7CDE8DAC8}">
  <sheetPr>
    <pageSetUpPr fitToPage="1"/>
  </sheetPr>
  <dimension ref="A1:L31"/>
  <sheetViews>
    <sheetView topLeftCell="A5" workbookViewId="0">
      <selection activeCell="F20" sqref="F20"/>
    </sheetView>
  </sheetViews>
  <sheetFormatPr defaultRowHeight="17" x14ac:dyDescent="0.6"/>
  <cols>
    <col min="1" max="1" width="41.1796875" style="97" bestFit="1" customWidth="1"/>
    <col min="2" max="2" width="14.7265625" style="97" customWidth="1"/>
    <col min="3" max="11" width="14.7265625" style="97" bestFit="1" customWidth="1"/>
    <col min="12" max="12" width="13.6328125" style="97" bestFit="1" customWidth="1"/>
    <col min="13" max="16384" width="8.7265625" style="97"/>
  </cols>
  <sheetData>
    <row r="1" spans="1:11" x14ac:dyDescent="0.6">
      <c r="A1" s="96" t="s">
        <v>294</v>
      </c>
      <c r="B1" s="96"/>
    </row>
    <row r="2" spans="1:11" x14ac:dyDescent="0.6">
      <c r="A2" s="96"/>
      <c r="B2" s="96"/>
    </row>
    <row r="3" spans="1:11" x14ac:dyDescent="0.6">
      <c r="A3" s="98" t="s">
        <v>3</v>
      </c>
      <c r="B3" s="98">
        <v>0</v>
      </c>
      <c r="C3" s="98" t="s">
        <v>49</v>
      </c>
      <c r="D3" s="98" t="s">
        <v>50</v>
      </c>
      <c r="E3" s="98" t="s">
        <v>51</v>
      </c>
      <c r="F3" s="98" t="s">
        <v>52</v>
      </c>
      <c r="G3" s="98" t="s">
        <v>53</v>
      </c>
      <c r="H3" s="98" t="s">
        <v>54</v>
      </c>
      <c r="I3" s="98" t="s">
        <v>55</v>
      </c>
      <c r="J3" s="98" t="s">
        <v>56</v>
      </c>
      <c r="K3" s="98" t="s">
        <v>57</v>
      </c>
    </row>
    <row r="4" spans="1:11" x14ac:dyDescent="0.6">
      <c r="A4" s="99" t="s">
        <v>295</v>
      </c>
      <c r="B4" s="100">
        <f>'Ann 2'!C7*100000</f>
        <v>1259000</v>
      </c>
      <c r="C4" s="100">
        <f>B20</f>
        <v>1759000</v>
      </c>
      <c r="D4" s="100">
        <f>C20</f>
        <v>3755003</v>
      </c>
      <c r="E4" s="100">
        <f t="shared" ref="E4:K4" si="0">D20</f>
        <v>3187602.6083333329</v>
      </c>
      <c r="F4" s="100">
        <f t="shared" si="0"/>
        <v>2404172.0941666658</v>
      </c>
      <c r="G4" s="100">
        <f t="shared" si="0"/>
        <v>1443968.7858749987</v>
      </c>
      <c r="H4" s="100">
        <f t="shared" si="0"/>
        <v>340477.51257708156</v>
      </c>
      <c r="I4" s="100">
        <f t="shared" si="0"/>
        <v>1613315.2856905197</v>
      </c>
      <c r="J4" s="100">
        <f t="shared" si="0"/>
        <v>3051483.5850869408</v>
      </c>
      <c r="K4" s="100">
        <f t="shared" si="0"/>
        <v>4381175.5722238999</v>
      </c>
    </row>
    <row r="5" spans="1:11" x14ac:dyDescent="0.6">
      <c r="A5" s="99" t="s">
        <v>296</v>
      </c>
      <c r="B5" s="100">
        <f>'Ann 2'!C4*100000</f>
        <v>1980000</v>
      </c>
      <c r="C5" s="100">
        <v>0</v>
      </c>
      <c r="D5" s="100">
        <v>0</v>
      </c>
      <c r="E5" s="100">
        <v>0</v>
      </c>
      <c r="F5" s="100">
        <v>0</v>
      </c>
      <c r="G5" s="100">
        <v>0</v>
      </c>
      <c r="H5" s="100">
        <v>0</v>
      </c>
      <c r="I5" s="100">
        <v>0</v>
      </c>
      <c r="J5" s="100">
        <v>0</v>
      </c>
      <c r="K5" s="100">
        <v>0</v>
      </c>
    </row>
    <row r="6" spans="1:11" x14ac:dyDescent="0.6">
      <c r="A6" s="99" t="s">
        <v>297</v>
      </c>
      <c r="B6" s="100">
        <f>'Ann 13'!D4*100000</f>
        <v>16560999.999999998</v>
      </c>
      <c r="C6" s="100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</row>
    <row r="7" spans="1:11" x14ac:dyDescent="0.6">
      <c r="A7" s="99" t="s">
        <v>298</v>
      </c>
      <c r="B7" s="100">
        <f>'Ann 3'!G26</f>
        <v>17971000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</row>
    <row r="8" spans="1:11" x14ac:dyDescent="0.6">
      <c r="A8" s="99" t="s">
        <v>299</v>
      </c>
      <c r="B8" s="100">
        <v>0</v>
      </c>
      <c r="C8" s="100">
        <f>'Ann 4'!C12-'Ann 5'!C12</f>
        <v>3240000</v>
      </c>
      <c r="D8" s="100">
        <f>'Ann 4'!D12-'Ann 5'!D12</f>
        <v>3456000</v>
      </c>
      <c r="E8" s="100">
        <f>'Ann 4'!E12-'Ann 5'!E12</f>
        <v>3672000</v>
      </c>
      <c r="F8" s="100">
        <f>'Ann 4'!F12-'Ann 5'!F12</f>
        <v>3888000</v>
      </c>
      <c r="G8" s="100">
        <f>'Ann 4'!G12-'Ann 5'!G12</f>
        <v>4104000</v>
      </c>
      <c r="H8" s="100">
        <f>'Ann 4'!H12-'Ann 5'!H12</f>
        <v>4320000</v>
      </c>
      <c r="I8" s="100">
        <f>'Ann 4'!I12-'Ann 5'!I12</f>
        <v>4320000</v>
      </c>
      <c r="J8" s="100">
        <f>'Ann 4'!J12-'Ann 5'!J12</f>
        <v>4320000</v>
      </c>
      <c r="K8" s="100">
        <f>'Ann 4'!K12-'Ann 5'!K12</f>
        <v>4320000</v>
      </c>
    </row>
    <row r="9" spans="1:11" x14ac:dyDescent="0.6">
      <c r="A9" s="99" t="s">
        <v>300</v>
      </c>
      <c r="B9" s="100">
        <v>0</v>
      </c>
      <c r="C9" s="100">
        <v>0</v>
      </c>
      <c r="D9" s="100">
        <f>'Ann 5'!C21</f>
        <v>108000</v>
      </c>
      <c r="E9" s="100">
        <f>'Ann 5'!D21</f>
        <v>115200</v>
      </c>
      <c r="F9" s="100">
        <f>'Ann 5'!E21</f>
        <v>122400</v>
      </c>
      <c r="G9" s="100">
        <f>'Ann 5'!F21</f>
        <v>129600</v>
      </c>
      <c r="H9" s="100">
        <f>'Ann 5'!G21</f>
        <v>136800</v>
      </c>
      <c r="I9" s="100">
        <f>'Ann 5'!H21</f>
        <v>144000</v>
      </c>
      <c r="J9" s="100">
        <f>'Ann 5'!I21</f>
        <v>144000</v>
      </c>
      <c r="K9" s="100">
        <f>'Ann 5'!J21</f>
        <v>144000</v>
      </c>
    </row>
    <row r="10" spans="1:11" x14ac:dyDescent="0.6">
      <c r="A10" s="99" t="s">
        <v>301</v>
      </c>
      <c r="B10" s="100">
        <v>0</v>
      </c>
      <c r="C10" s="100">
        <v>0</v>
      </c>
      <c r="D10" s="100">
        <f>'Ann 5'!C12</f>
        <v>360000</v>
      </c>
      <c r="E10" s="100">
        <f>'Ann 5'!D12</f>
        <v>384000</v>
      </c>
      <c r="F10" s="100">
        <f>'Ann 5'!E12</f>
        <v>408000</v>
      </c>
      <c r="G10" s="100">
        <f>'Ann 5'!F12</f>
        <v>432000</v>
      </c>
      <c r="H10" s="100">
        <f>'Ann 5'!G12</f>
        <v>456000</v>
      </c>
      <c r="I10" s="100">
        <f>'Ann 5'!H12</f>
        <v>480000</v>
      </c>
      <c r="J10" s="100">
        <f>'Ann 5'!I12</f>
        <v>480000</v>
      </c>
      <c r="K10" s="100">
        <f>'Ann 5'!J12</f>
        <v>480000</v>
      </c>
    </row>
    <row r="11" spans="1:11" x14ac:dyDescent="0.6">
      <c r="A11" s="99" t="s">
        <v>302</v>
      </c>
      <c r="B11" s="100">
        <v>0</v>
      </c>
      <c r="C11" s="100">
        <f>'Ann 4'!C11-'Ann 5'!C21</f>
        <v>252000</v>
      </c>
      <c r="D11" s="100">
        <f>'Ann 4'!D11-'Ann 5'!D21</f>
        <v>268800</v>
      </c>
      <c r="E11" s="100">
        <f>'Ann 4'!E11-'Ann 5'!E21</f>
        <v>285600</v>
      </c>
      <c r="F11" s="100">
        <f>'Ann 4'!F11-'Ann 5'!F21</f>
        <v>302400</v>
      </c>
      <c r="G11" s="100">
        <f>'Ann 4'!G11-'Ann 5'!G21</f>
        <v>319200</v>
      </c>
      <c r="H11" s="100">
        <f>'Ann 4'!H11-'Ann 5'!H21</f>
        <v>336000</v>
      </c>
      <c r="I11" s="100">
        <f>'Ann 4'!I11-'Ann 5'!I21</f>
        <v>336000</v>
      </c>
      <c r="J11" s="100">
        <f>'Ann 4'!J11-'Ann 5'!J21</f>
        <v>336000</v>
      </c>
      <c r="K11" s="100">
        <f>'Ann 4'!K11-'Ann 5'!K21</f>
        <v>336000</v>
      </c>
    </row>
    <row r="12" spans="1:11" x14ac:dyDescent="0.6">
      <c r="A12" s="99" t="s">
        <v>316</v>
      </c>
      <c r="B12" s="100">
        <f>'Ann 4'!C21</f>
        <v>70000</v>
      </c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x14ac:dyDescent="0.6">
      <c r="A13" s="99" t="s">
        <v>303</v>
      </c>
      <c r="B13" s="100">
        <v>0</v>
      </c>
      <c r="C13" s="100">
        <f>'Ann 4'!C16+'Ann 4'!C17</f>
        <v>1119560</v>
      </c>
      <c r="D13" s="100">
        <f>'Ann 4'!D16+'Ann 4'!D17</f>
        <v>1057456.2499999995</v>
      </c>
      <c r="E13" s="100">
        <f>'Ann 4'!E16+'Ann 4'!E17</f>
        <v>891846.24999999988</v>
      </c>
      <c r="F13" s="100">
        <f>'Ann 4'!F16+'Ann 4'!F17</f>
        <v>726236.24999999965</v>
      </c>
      <c r="G13" s="100">
        <f>'Ann 4'!G16+'Ann 4'!G17</f>
        <v>560626.24999999953</v>
      </c>
      <c r="H13" s="100">
        <f>'Ann 4'!H16+'Ann 4'!H17</f>
        <v>395016.24999999948</v>
      </c>
      <c r="I13" s="100">
        <f>'Ann 4'!I16+'Ann 4'!I17</f>
        <v>229406.24999999953</v>
      </c>
      <c r="J13" s="100">
        <f>'Ann 4'!J16+'Ann 4'!J17</f>
        <v>125900</v>
      </c>
      <c r="K13" s="100">
        <f>'Ann 4'!K16+'Ann 4'!K17</f>
        <v>125900</v>
      </c>
    </row>
    <row r="14" spans="1:11" x14ac:dyDescent="0.6">
      <c r="A14" s="99"/>
      <c r="B14" s="100">
        <v>0</v>
      </c>
      <c r="C14" s="100">
        <f>C4+C5+C6-C7+C8-C9+C10-C11-C12-C13</f>
        <v>3627440</v>
      </c>
      <c r="D14" s="100">
        <f t="shared" ref="D14:K14" si="1">D4+D5+D6-D7+D8-D9+D10-D11-D12-D13</f>
        <v>6136746.75</v>
      </c>
      <c r="E14" s="100">
        <f t="shared" si="1"/>
        <v>5950956.3583333325</v>
      </c>
      <c r="F14" s="100">
        <f t="shared" si="1"/>
        <v>5549135.8441666663</v>
      </c>
      <c r="G14" s="100">
        <f t="shared" si="1"/>
        <v>4970542.5358749982</v>
      </c>
      <c r="H14" s="100">
        <f t="shared" si="1"/>
        <v>4248661.262577082</v>
      </c>
      <c r="I14" s="100">
        <f t="shared" si="1"/>
        <v>5703909.03569052</v>
      </c>
      <c r="J14" s="100">
        <f t="shared" si="1"/>
        <v>7245583.5850869408</v>
      </c>
      <c r="K14" s="100">
        <f t="shared" si="1"/>
        <v>8575275.5722238999</v>
      </c>
    </row>
    <row r="15" spans="1:11" x14ac:dyDescent="0.6">
      <c r="A15" s="99" t="s">
        <v>304</v>
      </c>
      <c r="B15" s="100">
        <v>0</v>
      </c>
      <c r="C15" s="100">
        <f>'Ann 4'!C24</f>
        <v>-127563</v>
      </c>
      <c r="D15" s="100">
        <f>'Ann 4'!D24</f>
        <v>65922.375000000131</v>
      </c>
      <c r="E15" s="100">
        <f>'Ann 4'!E24</f>
        <v>274401.48749999999</v>
      </c>
      <c r="F15" s="100">
        <f>'Ann 4'!F24</f>
        <v>469186.18312500016</v>
      </c>
      <c r="G15" s="100">
        <f>'Ann 4'!G24</f>
        <v>652290.12440625008</v>
      </c>
      <c r="H15" s="100">
        <f>'Ann 4'!H24</f>
        <v>825428.97449531255</v>
      </c>
      <c r="I15" s="100">
        <f>'Ann 4'!I24</f>
        <v>925264.69207101571</v>
      </c>
      <c r="J15" s="100">
        <f>'Ann 4'!J24</f>
        <v>999212.09751036321</v>
      </c>
      <c r="K15" s="100">
        <f>'Ann 4'!K24</f>
        <v>1035912.4468338087</v>
      </c>
    </row>
    <row r="16" spans="1:11" x14ac:dyDescent="0.6">
      <c r="A16" s="99"/>
      <c r="B16" s="100">
        <v>0</v>
      </c>
      <c r="C16" s="100">
        <f>C14-C15</f>
        <v>3755003</v>
      </c>
      <c r="D16" s="100">
        <f t="shared" ref="D16:K16" si="2">D14-D15</f>
        <v>6070824.375</v>
      </c>
      <c r="E16" s="100">
        <f t="shared" si="2"/>
        <v>5676554.8708333327</v>
      </c>
      <c r="F16" s="100">
        <f t="shared" si="2"/>
        <v>5079949.6610416658</v>
      </c>
      <c r="G16" s="100">
        <f t="shared" si="2"/>
        <v>4318252.411468748</v>
      </c>
      <c r="H16" s="100">
        <f t="shared" si="2"/>
        <v>3423232.2880817694</v>
      </c>
      <c r="I16" s="100">
        <f t="shared" si="2"/>
        <v>4778644.343619504</v>
      </c>
      <c r="J16" s="100">
        <f t="shared" si="2"/>
        <v>6246371.4875765778</v>
      </c>
      <c r="K16" s="100">
        <f t="shared" si="2"/>
        <v>7539363.125390091</v>
      </c>
    </row>
    <row r="17" spans="1:12" x14ac:dyDescent="0.6">
      <c r="A17" s="99" t="s">
        <v>305</v>
      </c>
      <c r="B17" s="100">
        <v>0</v>
      </c>
      <c r="C17" s="100">
        <f>'Ann 4'!C26</f>
        <v>0</v>
      </c>
      <c r="D17" s="100">
        <f>'Ann 4'!D26</f>
        <v>123055.10000000028</v>
      </c>
      <c r="E17" s="100">
        <f>'Ann 4'!E26</f>
        <v>512216.11</v>
      </c>
      <c r="F17" s="100">
        <f>'Ann 4'!F26</f>
        <v>875814.2085000003</v>
      </c>
      <c r="G17" s="100">
        <f>'Ann 4'!G26</f>
        <v>1217608.2322250002</v>
      </c>
      <c r="H17" s="100">
        <f>'Ann 4'!H26</f>
        <v>1540800.7523912501</v>
      </c>
      <c r="I17" s="100">
        <f>'Ann 4'!I26</f>
        <v>1727160.758532563</v>
      </c>
      <c r="J17" s="100">
        <f>'Ann 4'!J26</f>
        <v>1865195.9153526784</v>
      </c>
      <c r="K17" s="100">
        <f>'Ann 4'!K26</f>
        <v>1933703.2340897762</v>
      </c>
    </row>
    <row r="18" spans="1:12" x14ac:dyDescent="0.6">
      <c r="A18" s="99"/>
      <c r="B18" s="100">
        <v>0</v>
      </c>
      <c r="C18" s="100">
        <f>C16-C17</f>
        <v>3755003</v>
      </c>
      <c r="D18" s="100">
        <f t="shared" ref="D18:K18" si="3">D16-D17</f>
        <v>5947769.2749999994</v>
      </c>
      <c r="E18" s="100">
        <f t="shared" si="3"/>
        <v>5164338.7608333323</v>
      </c>
      <c r="F18" s="100">
        <f t="shared" si="3"/>
        <v>4204135.4525416652</v>
      </c>
      <c r="G18" s="100">
        <f t="shared" si="3"/>
        <v>3100644.1792437481</v>
      </c>
      <c r="H18" s="100">
        <f t="shared" si="3"/>
        <v>1882431.5356905193</v>
      </c>
      <c r="I18" s="100">
        <f t="shared" si="3"/>
        <v>3051483.5850869408</v>
      </c>
      <c r="J18" s="100">
        <f t="shared" si="3"/>
        <v>4381175.5722238999</v>
      </c>
      <c r="K18" s="100">
        <f t="shared" si="3"/>
        <v>5605659.891300315</v>
      </c>
    </row>
    <row r="19" spans="1:12" x14ac:dyDescent="0.6">
      <c r="A19" s="99" t="s">
        <v>306</v>
      </c>
      <c r="B19" s="100">
        <v>0</v>
      </c>
      <c r="C19" s="100">
        <f>SUM('Ann 13'!D9:D12)</f>
        <v>0</v>
      </c>
      <c r="D19" s="100">
        <f>SUM('Ann 13'!D13:D16)*100000</f>
        <v>2760166.6666666665</v>
      </c>
      <c r="E19" s="100">
        <f>SUM('Ann 13'!D17:D20)*100000</f>
        <v>2760166.6666666665</v>
      </c>
      <c r="F19" s="100">
        <f>SUM('Ann 13'!D21:D24)*100000</f>
        <v>2760166.6666666665</v>
      </c>
      <c r="G19" s="100">
        <f>SUM('Ann 13'!D25:D28)*100000</f>
        <v>2760166.6666666665</v>
      </c>
      <c r="H19" s="100">
        <f>SUM('Ann 13'!E29:E32)*100000</f>
        <v>269116.24999999948</v>
      </c>
      <c r="I19" s="100">
        <f>SUM('Ann 13'!F33:F36)*100000</f>
        <v>0</v>
      </c>
      <c r="J19" s="100">
        <v>0</v>
      </c>
      <c r="K19" s="100">
        <v>0</v>
      </c>
    </row>
    <row r="20" spans="1:12" x14ac:dyDescent="0.6">
      <c r="A20" s="99" t="s">
        <v>307</v>
      </c>
      <c r="B20" s="100">
        <f>B4+B5+B6-B7-B12</f>
        <v>1759000</v>
      </c>
      <c r="C20" s="100">
        <f>C18-C19</f>
        <v>3755003</v>
      </c>
      <c r="D20" s="100">
        <f>D18-D19</f>
        <v>3187602.6083333329</v>
      </c>
      <c r="E20" s="100">
        <f>E18-E19</f>
        <v>2404172.0941666658</v>
      </c>
      <c r="F20" s="100">
        <f t="shared" ref="F20:K20" si="4">F18-F19</f>
        <v>1443968.7858749987</v>
      </c>
      <c r="G20" s="100">
        <f t="shared" si="4"/>
        <v>340477.51257708156</v>
      </c>
      <c r="H20" s="100">
        <f t="shared" si="4"/>
        <v>1613315.2856905197</v>
      </c>
      <c r="I20" s="100">
        <f t="shared" si="4"/>
        <v>3051483.5850869408</v>
      </c>
      <c r="J20" s="100">
        <f t="shared" si="4"/>
        <v>4381175.5722238999</v>
      </c>
      <c r="K20" s="100">
        <f t="shared" si="4"/>
        <v>5605659.891300315</v>
      </c>
    </row>
    <row r="22" spans="1:12" x14ac:dyDescent="0.6">
      <c r="A22" s="101" t="s">
        <v>308</v>
      </c>
      <c r="B22" s="102">
        <v>0.06</v>
      </c>
      <c r="C22" s="45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2" x14ac:dyDescent="0.6">
      <c r="A23" s="101" t="s">
        <v>309</v>
      </c>
      <c r="B23" s="101">
        <v>1</v>
      </c>
      <c r="C23" s="103">
        <f>1/(1+$B$22)</f>
        <v>0.94339622641509424</v>
      </c>
      <c r="D23" s="103">
        <f>1/((1+$B$22)*(1+$B$22))</f>
        <v>0.88999644001423983</v>
      </c>
      <c r="E23" s="103">
        <f>1/((1+$B$22)*(1+$B$22)*(1+$B$22))</f>
        <v>0.8396192830323016</v>
      </c>
      <c r="F23" s="103">
        <f>1/((1+$B$22)*(1+$B$22)*(1+$B$22)*(1+$B$22))</f>
        <v>0.79209366323802044</v>
      </c>
      <c r="G23" s="103">
        <f>1/((1+$B$22)*(1+$B$22)*(1+$B$22)*(1+$B$22)*(1+$B$22))</f>
        <v>0.74725817286605689</v>
      </c>
      <c r="H23" s="103">
        <f>1/((1+$B$22)*(1+$B$22)*(1+$B$22)*(1+$B$22)*(1+$B$22)*(1+$B$22))</f>
        <v>0.70496054043967626</v>
      </c>
      <c r="I23" s="103">
        <f>1/((1+$B$22)*(1+$B$22)*(1+$B$22)*(1+$B$22)*(1+$B$22)*(1+$B$22)*(1+$B$22))</f>
        <v>0.6650571136223361</v>
      </c>
      <c r="J23" s="103">
        <f>1/((1+$B$22)*(1+$B$22)*(1+$B$22)*(1+$B$22)*(1+$B$22)*(1+$B$22)*(1+$B$22)*(1+$B$22))</f>
        <v>0.62741237134182648</v>
      </c>
      <c r="K23" s="103">
        <f>1/((1+$B$22)*(1+$B$22)*(1+$B$22)*(1+$B$22)*(1+$B$22)*(1+$B$22)*(1+$B$22)*(1+$B$22)*(1+$B$22))</f>
        <v>0.59189846353002495</v>
      </c>
      <c r="L23" s="101"/>
    </row>
    <row r="24" spans="1:12" x14ac:dyDescent="0.6">
      <c r="A24" s="101" t="s">
        <v>310</v>
      </c>
      <c r="B24" s="101">
        <f>B4+B8+B10+B5+B6</f>
        <v>19800000</v>
      </c>
      <c r="C24" s="101">
        <f>C4+C8+C10+C5+C6</f>
        <v>4999000</v>
      </c>
      <c r="D24" s="101">
        <f t="shared" ref="D24:K24" si="5">D4+D8+D10</f>
        <v>7571003</v>
      </c>
      <c r="E24" s="101">
        <f t="shared" si="5"/>
        <v>7243602.6083333325</v>
      </c>
      <c r="F24" s="101">
        <f t="shared" si="5"/>
        <v>6700172.0941666663</v>
      </c>
      <c r="G24" s="101">
        <f t="shared" si="5"/>
        <v>5979968.7858749982</v>
      </c>
      <c r="H24" s="101">
        <f t="shared" si="5"/>
        <v>5116477.5125770811</v>
      </c>
      <c r="I24" s="101">
        <f t="shared" si="5"/>
        <v>6413315.28569052</v>
      </c>
      <c r="J24" s="101">
        <f t="shared" si="5"/>
        <v>7851483.5850869408</v>
      </c>
      <c r="K24" s="101">
        <f t="shared" si="5"/>
        <v>9181175.5722238999</v>
      </c>
      <c r="L24" s="101"/>
    </row>
    <row r="25" spans="1:12" x14ac:dyDescent="0.6">
      <c r="A25" s="101" t="s">
        <v>311</v>
      </c>
      <c r="B25" s="101">
        <f>B24*B23</f>
        <v>19800000</v>
      </c>
      <c r="C25" s="101">
        <f>C24*C23</f>
        <v>4716037.7358490564</v>
      </c>
      <c r="D25" s="101">
        <f t="shared" ref="D25:K25" si="6">D24*D23</f>
        <v>6738165.7173371296</v>
      </c>
      <c r="E25" s="101">
        <f t="shared" si="6"/>
        <v>6081868.4285797421</v>
      </c>
      <c r="F25" s="101">
        <f t="shared" si="6"/>
        <v>5307163.8583936337</v>
      </c>
      <c r="G25" s="101">
        <f t="shared" si="6"/>
        <v>4468580.5487290034</v>
      </c>
      <c r="H25" s="101">
        <f t="shared" si="6"/>
        <v>3606914.7524137897</v>
      </c>
      <c r="I25" s="101">
        <f t="shared" si="6"/>
        <v>4265220.9526513452</v>
      </c>
      <c r="J25" s="101">
        <f t="shared" si="6"/>
        <v>4926117.9346708227</v>
      </c>
      <c r="K25" s="101">
        <f t="shared" si="6"/>
        <v>5434323.7145987237</v>
      </c>
      <c r="L25" s="101"/>
    </row>
    <row r="26" spans="1:12" x14ac:dyDescent="0.6">
      <c r="A26" s="101" t="s">
        <v>312</v>
      </c>
      <c r="B26" s="101">
        <f>B9+B11+B13+B15+B17+B19+B7</f>
        <v>17971000</v>
      </c>
      <c r="C26" s="101">
        <f>C9+C11+C13+C15+C17+C19+C7</f>
        <v>1243997</v>
      </c>
      <c r="D26" s="101">
        <f t="shared" ref="D26:K26" si="7">D9+D11+D13+D15+D17+D19+D7</f>
        <v>4383400.3916666666</v>
      </c>
      <c r="E26" s="101">
        <f t="shared" si="7"/>
        <v>4839430.5141666662</v>
      </c>
      <c r="F26" s="101">
        <f t="shared" si="7"/>
        <v>5256203.3082916662</v>
      </c>
      <c r="G26" s="101">
        <f t="shared" si="7"/>
        <v>5639491.2732979171</v>
      </c>
      <c r="H26" s="101">
        <f t="shared" si="7"/>
        <v>3503162.2268865616</v>
      </c>
      <c r="I26" s="101">
        <f t="shared" si="7"/>
        <v>3361831.7006035782</v>
      </c>
      <c r="J26" s="101">
        <f t="shared" si="7"/>
        <v>3470308.0128630418</v>
      </c>
      <c r="K26" s="101">
        <f t="shared" si="7"/>
        <v>3575515.6809235848</v>
      </c>
      <c r="L26" s="101"/>
    </row>
    <row r="27" spans="1:12" x14ac:dyDescent="0.6">
      <c r="A27" s="101" t="s">
        <v>313</v>
      </c>
      <c r="B27" s="101">
        <f>B26*B23</f>
        <v>17971000</v>
      </c>
      <c r="C27" s="101">
        <f>C26*C23</f>
        <v>1173582.0754716981</v>
      </c>
      <c r="D27" s="101">
        <f t="shared" ref="D27:K27" si="8">D26*D23</f>
        <v>3901210.7437403579</v>
      </c>
      <c r="E27" s="101">
        <f t="shared" si="8"/>
        <v>4063279.1785892588</v>
      </c>
      <c r="F27" s="101">
        <f t="shared" si="8"/>
        <v>4163405.3331885478</v>
      </c>
      <c r="G27" s="101">
        <f t="shared" si="8"/>
        <v>4214155.9447786743</v>
      </c>
      <c r="H27" s="101">
        <f t="shared" si="8"/>
        <v>2469591.1367138103</v>
      </c>
      <c r="I27" s="101">
        <f t="shared" si="8"/>
        <v>2235810.0872874851</v>
      </c>
      <c r="J27" s="101">
        <f t="shared" si="8"/>
        <v>2177314.1796369427</v>
      </c>
      <c r="K27" s="101">
        <f t="shared" si="8"/>
        <v>2116342.2378661809</v>
      </c>
      <c r="L27" s="101"/>
    </row>
    <row r="28" spans="1:12" x14ac:dyDescent="0.6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</row>
    <row r="29" spans="1:12" x14ac:dyDescent="0.6">
      <c r="A29" s="101" t="s">
        <v>314</v>
      </c>
      <c r="B29" s="101">
        <f>B24-B26</f>
        <v>1829000</v>
      </c>
      <c r="C29" s="101">
        <f>C24-C26</f>
        <v>3755003</v>
      </c>
      <c r="D29" s="101">
        <f>D24-D26</f>
        <v>3187602.6083333334</v>
      </c>
      <c r="E29" s="101">
        <f t="shared" ref="E29:K29" si="9">E24-E26</f>
        <v>2404172.0941666663</v>
      </c>
      <c r="F29" s="101">
        <f t="shared" si="9"/>
        <v>1443968.7858750001</v>
      </c>
      <c r="G29" s="101">
        <f t="shared" si="9"/>
        <v>340477.5125770811</v>
      </c>
      <c r="H29" s="101">
        <f t="shared" si="9"/>
        <v>1613315.2856905195</v>
      </c>
      <c r="I29" s="101">
        <f t="shared" si="9"/>
        <v>3051483.5850869417</v>
      </c>
      <c r="J29" s="101">
        <f t="shared" si="9"/>
        <v>4381175.572223899</v>
      </c>
      <c r="K29" s="101">
        <f t="shared" si="9"/>
        <v>5605659.891300315</v>
      </c>
      <c r="L29" s="101"/>
    </row>
    <row r="30" spans="1:12" x14ac:dyDescent="0.6">
      <c r="A30" s="101" t="s">
        <v>315</v>
      </c>
      <c r="B30" s="101">
        <f>B25-B27</f>
        <v>1829000</v>
      </c>
      <c r="C30" s="101">
        <f>C29*C23</f>
        <v>3542455.6603773581</v>
      </c>
      <c r="D30" s="101">
        <f t="shared" ref="D30:K30" si="10">D29*D23</f>
        <v>2836954.9735967722</v>
      </c>
      <c r="E30" s="101">
        <f t="shared" si="10"/>
        <v>2018589.2499904835</v>
      </c>
      <c r="F30" s="101">
        <f t="shared" si="10"/>
        <v>1143758.5252050855</v>
      </c>
      <c r="G30" s="101">
        <f t="shared" si="10"/>
        <v>254424.60395032953</v>
      </c>
      <c r="H30" s="101">
        <f t="shared" si="10"/>
        <v>1137323.6156999792</v>
      </c>
      <c r="I30" s="101">
        <f t="shared" si="10"/>
        <v>2029410.8653638598</v>
      </c>
      <c r="J30" s="101">
        <f t="shared" si="10"/>
        <v>2748803.75503388</v>
      </c>
      <c r="K30" s="101">
        <f t="shared" si="10"/>
        <v>3317981.4767325432</v>
      </c>
      <c r="L30" s="101">
        <f>SUM(B30:K30)</f>
        <v>20858702.72595029</v>
      </c>
    </row>
    <row r="31" spans="1:12" x14ac:dyDescent="0.6">
      <c r="A31" s="45"/>
      <c r="B31" s="45"/>
      <c r="C31" s="104"/>
      <c r="D31" s="104"/>
      <c r="E31" s="104"/>
      <c r="F31" s="104"/>
      <c r="G31" s="104"/>
      <c r="H31" s="45"/>
      <c r="I31" s="45"/>
      <c r="J31" s="45"/>
      <c r="K31" s="45"/>
      <c r="L31" s="45"/>
    </row>
  </sheetData>
  <pageMargins left="0.7" right="0.7" top="0.75" bottom="0.75" header="0.3" footer="0.3"/>
  <pageSetup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4B1E-1B30-425C-A7A4-40C1C892524E}">
  <sheetPr>
    <pageSetUpPr fitToPage="1"/>
  </sheetPr>
  <dimension ref="A1:K8"/>
  <sheetViews>
    <sheetView workbookViewId="0">
      <selection activeCell="D5" sqref="D5"/>
    </sheetView>
  </sheetViews>
  <sheetFormatPr defaultRowHeight="17" x14ac:dyDescent="0.6"/>
  <cols>
    <col min="1" max="1" width="26.08984375" style="1" bestFit="1" customWidth="1"/>
    <col min="2" max="2" width="17.90625" style="1" bestFit="1" customWidth="1"/>
    <col min="3" max="3" width="12.54296875" style="1" bestFit="1" customWidth="1"/>
    <col min="4" max="4" width="13.6328125" style="1" bestFit="1" customWidth="1"/>
    <col min="5" max="11" width="12.54296875" style="1" bestFit="1" customWidth="1"/>
    <col min="12" max="16384" width="8.7265625" style="1"/>
  </cols>
  <sheetData>
    <row r="1" spans="1:11" x14ac:dyDescent="0.6">
      <c r="A1" s="1" t="s">
        <v>61</v>
      </c>
    </row>
    <row r="2" spans="1:11" x14ac:dyDescent="0.6">
      <c r="A2" s="106" t="s">
        <v>3</v>
      </c>
      <c r="B2" s="106" t="s">
        <v>58</v>
      </c>
      <c r="C2" s="106"/>
      <c r="D2" s="106"/>
      <c r="E2" s="106"/>
      <c r="F2" s="106"/>
      <c r="G2" s="106"/>
      <c r="H2" s="106"/>
      <c r="I2" s="106"/>
      <c r="J2" s="106"/>
      <c r="K2" s="52"/>
    </row>
    <row r="3" spans="1:11" x14ac:dyDescent="0.6">
      <c r="A3" s="106"/>
      <c r="B3" s="87" t="s">
        <v>49</v>
      </c>
      <c r="C3" s="87" t="s">
        <v>50</v>
      </c>
      <c r="D3" s="87" t="s">
        <v>51</v>
      </c>
      <c r="E3" s="87" t="s">
        <v>52</v>
      </c>
      <c r="F3" s="87" t="s">
        <v>53</v>
      </c>
      <c r="G3" s="87" t="s">
        <v>54</v>
      </c>
      <c r="H3" s="87" t="s">
        <v>55</v>
      </c>
      <c r="I3" s="87" t="s">
        <v>56</v>
      </c>
      <c r="J3" s="87" t="s">
        <v>57</v>
      </c>
    </row>
    <row r="4" spans="1:11" x14ac:dyDescent="0.6">
      <c r="A4" s="11" t="s">
        <v>284</v>
      </c>
      <c r="B4" s="93">
        <v>0.75</v>
      </c>
      <c r="C4" s="93">
        <v>0.8</v>
      </c>
      <c r="D4" s="93">
        <v>0.85</v>
      </c>
      <c r="E4" s="93">
        <v>0.9</v>
      </c>
      <c r="F4" s="93">
        <v>0.95</v>
      </c>
      <c r="G4" s="93">
        <v>1</v>
      </c>
      <c r="H4" s="93">
        <v>1</v>
      </c>
      <c r="I4" s="93">
        <v>1</v>
      </c>
      <c r="J4" s="93">
        <v>1</v>
      </c>
    </row>
    <row r="5" spans="1:11" x14ac:dyDescent="0.6">
      <c r="A5" s="11" t="s">
        <v>285</v>
      </c>
      <c r="B5" s="54">
        <v>3600000</v>
      </c>
      <c r="C5" s="54">
        <f>(B5/B4)*C4</f>
        <v>3840000</v>
      </c>
      <c r="D5" s="54">
        <f>(C5/C4)*D4</f>
        <v>4080000</v>
      </c>
      <c r="E5" s="54">
        <f>(D5/D4)*E4</f>
        <v>4320000</v>
      </c>
      <c r="F5" s="54">
        <f>(E5/E4)*F4</f>
        <v>4560000</v>
      </c>
      <c r="G5" s="54">
        <f>(F5/F4)*G4</f>
        <v>4800000</v>
      </c>
      <c r="H5" s="54">
        <f t="shared" ref="H5:J5" si="0">(G5/G4)*H4</f>
        <v>4800000</v>
      </c>
      <c r="I5" s="54">
        <f t="shared" si="0"/>
        <v>4800000</v>
      </c>
      <c r="J5" s="54">
        <f t="shared" si="0"/>
        <v>4800000</v>
      </c>
    </row>
    <row r="7" spans="1:11" x14ac:dyDescent="0.6">
      <c r="A7" s="1" t="s">
        <v>63</v>
      </c>
    </row>
    <row r="8" spans="1:11" x14ac:dyDescent="0.6">
      <c r="A8" s="1" t="s">
        <v>290</v>
      </c>
    </row>
  </sheetData>
  <mergeCells count="2">
    <mergeCell ref="B2:J2"/>
    <mergeCell ref="A2:A3"/>
  </mergeCells>
  <pageMargins left="0.7" right="0.7" top="0.75" bottom="0.75" header="0.3" footer="0.3"/>
  <pageSetup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A94-5F23-494F-AD06-0793DB3E738B}">
  <sheetPr>
    <pageSetUpPr fitToPage="1"/>
  </sheetPr>
  <dimension ref="A1:B9"/>
  <sheetViews>
    <sheetView workbookViewId="0"/>
  </sheetViews>
  <sheetFormatPr defaultRowHeight="17" x14ac:dyDescent="0.6"/>
  <cols>
    <col min="1" max="16384" width="8.7265625" style="1"/>
  </cols>
  <sheetData>
    <row r="1" spans="1:2" x14ac:dyDescent="0.6">
      <c r="A1" s="1" t="s">
        <v>240</v>
      </c>
      <c r="B1" s="1" t="s">
        <v>241</v>
      </c>
    </row>
    <row r="2" spans="1:2" x14ac:dyDescent="0.6">
      <c r="A2" s="1">
        <v>1</v>
      </c>
      <c r="B2" s="1" t="s">
        <v>242</v>
      </c>
    </row>
    <row r="3" spans="1:2" x14ac:dyDescent="0.6">
      <c r="A3" s="1">
        <v>2</v>
      </c>
      <c r="B3" s="1" t="s">
        <v>243</v>
      </c>
    </row>
    <row r="4" spans="1:2" x14ac:dyDescent="0.6">
      <c r="A4" s="1">
        <v>3</v>
      </c>
      <c r="B4" s="1" t="s">
        <v>271</v>
      </c>
    </row>
    <row r="5" spans="1:2" x14ac:dyDescent="0.6">
      <c r="A5" s="1">
        <v>4</v>
      </c>
      <c r="B5" s="1" t="s">
        <v>244</v>
      </c>
    </row>
    <row r="6" spans="1:2" x14ac:dyDescent="0.6">
      <c r="A6" s="1">
        <v>5</v>
      </c>
      <c r="B6" s="1" t="s">
        <v>245</v>
      </c>
    </row>
    <row r="7" spans="1:2" x14ac:dyDescent="0.6">
      <c r="A7" s="1">
        <v>6</v>
      </c>
      <c r="B7" s="1" t="s">
        <v>246</v>
      </c>
    </row>
    <row r="8" spans="1:2" x14ac:dyDescent="0.6">
      <c r="A8" s="1">
        <v>7</v>
      </c>
      <c r="B8" s="1" t="s">
        <v>247</v>
      </c>
    </row>
    <row r="9" spans="1:2" x14ac:dyDescent="0.6">
      <c r="A9" s="1">
        <v>8</v>
      </c>
      <c r="B9" s="1" t="s">
        <v>248</v>
      </c>
    </row>
  </sheetData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9C4-54F8-474E-BB75-1195C1E10BE5}">
  <sheetPr>
    <pageSetUpPr fitToPage="1"/>
  </sheetPr>
  <dimension ref="A1:J8"/>
  <sheetViews>
    <sheetView workbookViewId="0"/>
  </sheetViews>
  <sheetFormatPr defaultRowHeight="17" x14ac:dyDescent="0.6"/>
  <cols>
    <col min="1" max="1" width="14.81640625" style="1" bestFit="1" customWidth="1"/>
    <col min="2" max="16384" width="8.7265625" style="1"/>
  </cols>
  <sheetData>
    <row r="1" spans="1:10" x14ac:dyDescent="0.6">
      <c r="A1" s="9" t="s">
        <v>292</v>
      </c>
    </row>
    <row r="2" spans="1:10" x14ac:dyDescent="0.6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</row>
    <row r="3" spans="1:10" x14ac:dyDescent="0.6">
      <c r="A3" s="1" t="s">
        <v>234</v>
      </c>
      <c r="B3" s="53">
        <f>'Ann 4'!C12/100000</f>
        <v>36</v>
      </c>
      <c r="C3" s="53">
        <f>'Ann 4'!D12/100000</f>
        <v>38.4</v>
      </c>
      <c r="D3" s="53">
        <f>'Ann 4'!E12/100000</f>
        <v>40.799999999999997</v>
      </c>
      <c r="E3" s="53">
        <f>'Ann 4'!F12/100000</f>
        <v>43.2</v>
      </c>
      <c r="F3" s="53">
        <f>'Ann 4'!G12/100000</f>
        <v>45.6</v>
      </c>
      <c r="G3" s="53">
        <f>'Ann 4'!H12/100000</f>
        <v>48</v>
      </c>
      <c r="H3" s="53">
        <f>'Ann 4'!I12/100000</f>
        <v>48</v>
      </c>
      <c r="I3" s="53">
        <f>'Ann 4'!J12/100000</f>
        <v>48</v>
      </c>
      <c r="J3" s="53">
        <f>'Ann 4'!K12/100000</f>
        <v>48</v>
      </c>
    </row>
    <row r="4" spans="1:10" x14ac:dyDescent="0.6">
      <c r="A4" s="1" t="s">
        <v>235</v>
      </c>
      <c r="B4" s="53">
        <f>'Ann 4'!C11/100000</f>
        <v>3.6</v>
      </c>
      <c r="C4" s="53">
        <f>'Ann 4'!D11/100000</f>
        <v>3.84</v>
      </c>
      <c r="D4" s="53">
        <f>'Ann 4'!E11/100000</f>
        <v>4.08</v>
      </c>
      <c r="E4" s="53">
        <f>'Ann 4'!F11/100000</f>
        <v>4.32</v>
      </c>
      <c r="F4" s="53">
        <f>'Ann 4'!G11/100000</f>
        <v>4.5599999999999996</v>
      </c>
      <c r="G4" s="53">
        <f>'Ann 4'!H11/100000</f>
        <v>4.8</v>
      </c>
      <c r="H4" s="53">
        <f>'Ann 4'!I11/100000</f>
        <v>4.8</v>
      </c>
      <c r="I4" s="53">
        <f>'Ann 4'!J11/100000</f>
        <v>4.8</v>
      </c>
      <c r="J4" s="53">
        <f>'Ann 4'!K11/100000</f>
        <v>4.8</v>
      </c>
    </row>
    <row r="5" spans="1:10" x14ac:dyDescent="0.6">
      <c r="A5" s="1" t="s">
        <v>236</v>
      </c>
      <c r="B5" s="53">
        <f>B3-B4</f>
        <v>32.4</v>
      </c>
      <c r="C5" s="53">
        <f t="shared" ref="C5:J5" si="0">C3-C4</f>
        <v>34.56</v>
      </c>
      <c r="D5" s="53">
        <f t="shared" si="0"/>
        <v>36.72</v>
      </c>
      <c r="E5" s="53">
        <f t="shared" si="0"/>
        <v>38.880000000000003</v>
      </c>
      <c r="F5" s="53">
        <f t="shared" si="0"/>
        <v>41.04</v>
      </c>
      <c r="G5" s="53">
        <f t="shared" si="0"/>
        <v>43.2</v>
      </c>
      <c r="H5" s="53">
        <f t="shared" si="0"/>
        <v>43.2</v>
      </c>
      <c r="I5" s="53">
        <f t="shared" si="0"/>
        <v>43.2</v>
      </c>
      <c r="J5" s="53">
        <f t="shared" si="0"/>
        <v>43.2</v>
      </c>
    </row>
    <row r="6" spans="1:10" x14ac:dyDescent="0.6">
      <c r="A6" s="1" t="s">
        <v>237</v>
      </c>
      <c r="B6" s="53">
        <f>B5</f>
        <v>32.4</v>
      </c>
      <c r="C6" s="53">
        <f t="shared" ref="C6:J6" si="1">C5</f>
        <v>34.56</v>
      </c>
      <c r="D6" s="53">
        <f t="shared" si="1"/>
        <v>36.72</v>
      </c>
      <c r="E6" s="53">
        <f t="shared" si="1"/>
        <v>38.880000000000003</v>
      </c>
      <c r="F6" s="53">
        <f t="shared" si="1"/>
        <v>41.04</v>
      </c>
      <c r="G6" s="53">
        <f t="shared" si="1"/>
        <v>43.2</v>
      </c>
      <c r="H6" s="53">
        <f t="shared" si="1"/>
        <v>43.2</v>
      </c>
      <c r="I6" s="53">
        <f t="shared" si="1"/>
        <v>43.2</v>
      </c>
      <c r="J6" s="53">
        <f t="shared" si="1"/>
        <v>43.2</v>
      </c>
    </row>
    <row r="7" spans="1:10" x14ac:dyDescent="0.6">
      <c r="A7" s="1" t="s">
        <v>238</v>
      </c>
      <c r="B7" s="95">
        <f>'Ann 4'!C23/100000</f>
        <v>-4.9520999999999997</v>
      </c>
      <c r="C7" s="95">
        <f>'Ann 4'!D23/100000</f>
        <v>2.1974125000000049</v>
      </c>
      <c r="D7" s="95">
        <f>'Ann 4'!E23/100000</f>
        <v>9.1467162500000008</v>
      </c>
      <c r="E7" s="95">
        <f>'Ann 4'!F23/100000</f>
        <v>15.639539437500005</v>
      </c>
      <c r="F7" s="95">
        <f>'Ann 4'!G23/100000</f>
        <v>21.743004146875002</v>
      </c>
      <c r="G7" s="95">
        <f>'Ann 4'!H23/100000</f>
        <v>27.514299149843751</v>
      </c>
      <c r="H7" s="95">
        <f>'Ann 4'!I23/100000</f>
        <v>30.842156402367191</v>
      </c>
      <c r="I7" s="95">
        <f>'Ann 4'!J23/100000</f>
        <v>33.307069917012107</v>
      </c>
      <c r="J7" s="95">
        <f>'Ann 4'!K23/100000</f>
        <v>34.530414894460293</v>
      </c>
    </row>
    <row r="8" spans="1:10" x14ac:dyDescent="0.6">
      <c r="A8" s="1" t="s">
        <v>239</v>
      </c>
      <c r="B8" s="95">
        <f>'Ann 4'!C25/100000</f>
        <v>-3.6764700000000001</v>
      </c>
      <c r="C8" s="95">
        <f>'Ann 4'!D25/100000</f>
        <v>1.5381887500000035</v>
      </c>
      <c r="D8" s="95">
        <f>'Ann 4'!E25/100000</f>
        <v>6.4027013749999995</v>
      </c>
      <c r="E8" s="95">
        <f>'Ann 4'!F25/100000</f>
        <v>10.947677606250004</v>
      </c>
      <c r="F8" s="95">
        <f>'Ann 4'!G25/100000</f>
        <v>15.220102902812501</v>
      </c>
      <c r="G8" s="95">
        <f>'Ann 4'!H25/100000</f>
        <v>19.260009404890624</v>
      </c>
      <c r="H8" s="95">
        <f>'Ann 4'!I25/100000</f>
        <v>21.589509481657036</v>
      </c>
      <c r="I8" s="95">
        <f>'Ann 4'!J25/100000</f>
        <v>23.314948941908479</v>
      </c>
      <c r="J8" s="95">
        <f>'Ann 4'!K25/100000</f>
        <v>24.171290426122201</v>
      </c>
    </row>
  </sheetData>
  <pageMargins left="0.7" right="0.7" top="0.75" bottom="0.75" header="0.3" footer="0.3"/>
  <pageSetup scale="9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216</v>
      </c>
    </row>
    <row r="2" spans="1:11" x14ac:dyDescent="0.3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</row>
    <row r="3" spans="1:11" x14ac:dyDescent="0.35">
      <c r="A3" t="s">
        <v>217</v>
      </c>
      <c r="C3">
        <f>'Ann 4'!C12/300*270</f>
        <v>3240000</v>
      </c>
      <c r="D3">
        <f>'Ann 4'!D12/300*270</f>
        <v>3456000</v>
      </c>
      <c r="E3">
        <f>'Ann 4'!E12/300*270</f>
        <v>3672000</v>
      </c>
      <c r="F3">
        <f>'Ann 4'!F12/300*270</f>
        <v>3888000</v>
      </c>
      <c r="G3">
        <f>'Ann 4'!G12/300*270</f>
        <v>4104000</v>
      </c>
      <c r="H3">
        <f>'Ann 4'!H12/300*270</f>
        <v>4320000</v>
      </c>
      <c r="I3">
        <f>'Ann 4'!I12/300*270</f>
        <v>4320000</v>
      </c>
      <c r="J3">
        <f>'Ann 4'!J12/300*270</f>
        <v>4320000</v>
      </c>
      <c r="K3">
        <f>'Ann 4'!K12/300*270</f>
        <v>4320000</v>
      </c>
    </row>
    <row r="4" spans="1:11" x14ac:dyDescent="0.35">
      <c r="A4" t="s">
        <v>218</v>
      </c>
      <c r="C4">
        <v>5000000</v>
      </c>
    </row>
    <row r="5" spans="1:11" x14ac:dyDescent="0.35">
      <c r="A5" t="s">
        <v>219</v>
      </c>
      <c r="C5">
        <v>21492978</v>
      </c>
    </row>
    <row r="7" spans="1:11" x14ac:dyDescent="0.35">
      <c r="A7" t="s">
        <v>220</v>
      </c>
      <c r="C7">
        <f>'Ann 3'!G26</f>
        <v>17971000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E37"/>
  <sheetViews>
    <sheetView topLeftCell="A21" workbookViewId="0">
      <selection activeCell="C34" sqref="C34"/>
    </sheetView>
  </sheetViews>
  <sheetFormatPr defaultRowHeight="17" x14ac:dyDescent="0.6"/>
  <cols>
    <col min="1" max="1" width="8.7265625" style="1"/>
    <col min="2" max="2" width="44.90625" style="1" customWidth="1"/>
    <col min="3" max="3" width="13.26953125" style="1" customWidth="1"/>
    <col min="4" max="4" width="12.26953125" style="1" bestFit="1" customWidth="1"/>
    <col min="5" max="16384" width="8.7265625" style="1"/>
  </cols>
  <sheetData>
    <row r="1" spans="1:3" x14ac:dyDescent="0.6">
      <c r="A1" s="9" t="s">
        <v>270</v>
      </c>
    </row>
    <row r="2" spans="1:3" x14ac:dyDescent="0.6">
      <c r="A2" s="9"/>
    </row>
    <row r="3" spans="1:3" x14ac:dyDescent="0.6">
      <c r="A3" s="9" t="s">
        <v>0</v>
      </c>
    </row>
    <row r="5" spans="1:3" x14ac:dyDescent="0.6">
      <c r="A5" s="68" t="s">
        <v>1</v>
      </c>
      <c r="B5" s="57"/>
      <c r="C5" s="58"/>
    </row>
    <row r="6" spans="1:3" ht="34" x14ac:dyDescent="0.6">
      <c r="A6" s="69" t="s">
        <v>2</v>
      </c>
      <c r="B6" s="69" t="s">
        <v>3</v>
      </c>
      <c r="C6" s="70" t="s">
        <v>4</v>
      </c>
    </row>
    <row r="7" spans="1:3" x14ac:dyDescent="0.6">
      <c r="A7" s="62">
        <v>1</v>
      </c>
      <c r="B7" s="33" t="s">
        <v>6</v>
      </c>
      <c r="C7" s="34"/>
    </row>
    <row r="8" spans="1:3" x14ac:dyDescent="0.6">
      <c r="A8" s="62" t="s">
        <v>5</v>
      </c>
      <c r="B8" s="33" t="s">
        <v>7</v>
      </c>
      <c r="C8" s="63">
        <v>0</v>
      </c>
    </row>
    <row r="9" spans="1:3" x14ac:dyDescent="0.6">
      <c r="A9" s="62"/>
      <c r="B9" s="33" t="s">
        <v>8</v>
      </c>
      <c r="C9" s="63">
        <f>SUM(C8)</f>
        <v>0</v>
      </c>
    </row>
    <row r="10" spans="1:3" x14ac:dyDescent="0.6">
      <c r="A10" s="62"/>
      <c r="B10" s="33"/>
      <c r="C10" s="34"/>
    </row>
    <row r="11" spans="1:3" x14ac:dyDescent="0.6">
      <c r="A11" s="62">
        <v>2</v>
      </c>
      <c r="B11" s="33" t="s">
        <v>9</v>
      </c>
      <c r="C11" s="34"/>
    </row>
    <row r="12" spans="1:3" x14ac:dyDescent="0.6">
      <c r="A12" s="62" t="s">
        <v>5</v>
      </c>
      <c r="B12" s="33" t="s">
        <v>9</v>
      </c>
      <c r="C12" s="94">
        <f>('Ann 3'!G6)/100000</f>
        <v>30</v>
      </c>
    </row>
    <row r="13" spans="1:3" x14ac:dyDescent="0.6">
      <c r="A13" s="62"/>
      <c r="B13" s="33" t="s">
        <v>8</v>
      </c>
      <c r="C13" s="94">
        <f>C12</f>
        <v>30</v>
      </c>
    </row>
    <row r="14" spans="1:3" x14ac:dyDescent="0.6">
      <c r="A14" s="62"/>
      <c r="B14" s="33"/>
      <c r="C14" s="37"/>
    </row>
    <row r="15" spans="1:3" x14ac:dyDescent="0.6">
      <c r="A15" s="62">
        <v>3</v>
      </c>
      <c r="B15" s="33" t="s">
        <v>10</v>
      </c>
      <c r="C15" s="37"/>
    </row>
    <row r="16" spans="1:3" x14ac:dyDescent="0.6">
      <c r="A16" s="62" t="s">
        <v>5</v>
      </c>
      <c r="B16" s="33" t="s">
        <v>11</v>
      </c>
      <c r="C16" s="94">
        <f>('Ann 3'!G24)/100000</f>
        <v>149.71</v>
      </c>
    </row>
    <row r="17" spans="1:4" x14ac:dyDescent="0.6">
      <c r="A17" s="62"/>
      <c r="B17" s="33" t="s">
        <v>8</v>
      </c>
      <c r="C17" s="37">
        <f>C16</f>
        <v>149.71</v>
      </c>
    </row>
    <row r="18" spans="1:4" x14ac:dyDescent="0.6">
      <c r="A18" s="62"/>
      <c r="B18" s="33"/>
      <c r="C18" s="34"/>
    </row>
    <row r="19" spans="1:4" x14ac:dyDescent="0.6">
      <c r="A19" s="62">
        <v>4</v>
      </c>
      <c r="B19" s="33" t="s">
        <v>12</v>
      </c>
      <c r="C19" s="34"/>
    </row>
    <row r="20" spans="1:4" x14ac:dyDescent="0.6">
      <c r="A20" s="62" t="s">
        <v>5</v>
      </c>
      <c r="B20" s="33" t="s">
        <v>13</v>
      </c>
      <c r="C20" s="34">
        <v>5</v>
      </c>
    </row>
    <row r="21" spans="1:4" x14ac:dyDescent="0.6">
      <c r="A21" s="62"/>
      <c r="B21" s="33"/>
      <c r="C21" s="34"/>
    </row>
    <row r="22" spans="1:4" x14ac:dyDescent="0.6">
      <c r="A22" s="62">
        <v>5</v>
      </c>
      <c r="B22" s="33" t="s">
        <v>14</v>
      </c>
      <c r="C22" s="34">
        <v>12.59</v>
      </c>
      <c r="D22" s="6"/>
    </row>
    <row r="23" spans="1:4" x14ac:dyDescent="0.6">
      <c r="A23" s="62"/>
      <c r="B23" s="33"/>
      <c r="C23" s="34"/>
    </row>
    <row r="24" spans="1:4" x14ac:dyDescent="0.6">
      <c r="A24" s="62">
        <v>6</v>
      </c>
      <c r="B24" s="33" t="s">
        <v>15</v>
      </c>
      <c r="C24" s="34"/>
    </row>
    <row r="25" spans="1:4" x14ac:dyDescent="0.6">
      <c r="A25" s="62" t="s">
        <v>5</v>
      </c>
      <c r="B25" s="33" t="s">
        <v>16</v>
      </c>
      <c r="C25" s="34">
        <v>0</v>
      </c>
    </row>
    <row r="26" spans="1:4" x14ac:dyDescent="0.6">
      <c r="A26" s="62"/>
      <c r="B26" s="33" t="s">
        <v>8</v>
      </c>
      <c r="C26" s="34"/>
    </row>
    <row r="27" spans="1:4" x14ac:dyDescent="0.6">
      <c r="A27" s="62"/>
      <c r="B27" s="33"/>
      <c r="C27" s="34"/>
    </row>
    <row r="28" spans="1:4" x14ac:dyDescent="0.6">
      <c r="A28" s="62"/>
      <c r="B28" s="33" t="s">
        <v>17</v>
      </c>
      <c r="C28" s="34"/>
    </row>
    <row r="29" spans="1:4" ht="34" x14ac:dyDescent="0.6">
      <c r="A29" s="62"/>
      <c r="B29" s="64" t="s">
        <v>18</v>
      </c>
      <c r="C29" s="34"/>
    </row>
    <row r="30" spans="1:4" x14ac:dyDescent="0.6">
      <c r="A30" s="62" t="s">
        <v>5</v>
      </c>
      <c r="B30" s="33" t="s">
        <v>19</v>
      </c>
      <c r="C30" s="34">
        <v>0.6</v>
      </c>
    </row>
    <row r="31" spans="1:4" x14ac:dyDescent="0.6">
      <c r="A31" s="62" t="s">
        <v>20</v>
      </c>
      <c r="B31" s="33" t="s">
        <v>21</v>
      </c>
      <c r="C31" s="34">
        <v>0.1</v>
      </c>
    </row>
    <row r="32" spans="1:4" x14ac:dyDescent="0.6">
      <c r="A32" s="62"/>
      <c r="B32" s="33" t="s">
        <v>8</v>
      </c>
      <c r="C32" s="34">
        <f>SUM(C30:C31)</f>
        <v>0.7</v>
      </c>
    </row>
    <row r="33" spans="1:5" x14ac:dyDescent="0.6">
      <c r="A33" s="62"/>
      <c r="B33" s="33"/>
      <c r="C33" s="34"/>
    </row>
    <row r="34" spans="1:5" x14ac:dyDescent="0.6">
      <c r="A34" s="65"/>
      <c r="B34" s="44" t="s">
        <v>22</v>
      </c>
      <c r="C34" s="66">
        <f>C32+C25+C22+C17+C13+C20</f>
        <v>198</v>
      </c>
      <c r="D34" s="67"/>
      <c r="E34" s="6"/>
    </row>
    <row r="35" spans="1:5" x14ac:dyDescent="0.6">
      <c r="A35" s="17"/>
    </row>
    <row r="36" spans="1:5" x14ac:dyDescent="0.6">
      <c r="A36" s="17"/>
    </row>
    <row r="37" spans="1:5" x14ac:dyDescent="0.6">
      <c r="A37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C4" sqref="C4"/>
    </sheetView>
  </sheetViews>
  <sheetFormatPr defaultRowHeight="17" x14ac:dyDescent="0.6"/>
  <cols>
    <col min="1" max="1" width="8.7265625" style="1"/>
    <col min="2" max="2" width="22.08984375" style="1" customWidth="1"/>
    <col min="3" max="3" width="18.81640625" style="1" bestFit="1" customWidth="1"/>
    <col min="4" max="16384" width="8.7265625" style="1"/>
  </cols>
  <sheetData>
    <row r="1" spans="1:4" x14ac:dyDescent="0.6">
      <c r="A1" s="9" t="s">
        <v>23</v>
      </c>
    </row>
    <row r="3" spans="1:4" x14ac:dyDescent="0.6">
      <c r="A3" s="59" t="s">
        <v>24</v>
      </c>
      <c r="B3" s="60" t="s">
        <v>25</v>
      </c>
      <c r="C3" s="61" t="s">
        <v>4</v>
      </c>
    </row>
    <row r="4" spans="1:4" x14ac:dyDescent="0.6">
      <c r="A4" s="31">
        <v>1</v>
      </c>
      <c r="B4" s="32" t="s">
        <v>26</v>
      </c>
      <c r="C4" s="37">
        <f>C8*10%</f>
        <v>19.8</v>
      </c>
      <c r="D4" s="8"/>
    </row>
    <row r="5" spans="1:4" x14ac:dyDescent="0.6">
      <c r="A5" s="31">
        <v>2</v>
      </c>
      <c r="B5" s="32" t="s">
        <v>27</v>
      </c>
      <c r="C5" s="37">
        <v>0</v>
      </c>
      <c r="D5" s="53"/>
    </row>
    <row r="6" spans="1:4" x14ac:dyDescent="0.6">
      <c r="A6" s="31">
        <v>3</v>
      </c>
      <c r="B6" s="32" t="s">
        <v>28</v>
      </c>
      <c r="C6" s="37">
        <f>C8-C4-C7</f>
        <v>165.60999999999999</v>
      </c>
    </row>
    <row r="7" spans="1:4" x14ac:dyDescent="0.6">
      <c r="A7" s="31">
        <v>4</v>
      </c>
      <c r="B7" s="32" t="s">
        <v>29</v>
      </c>
      <c r="C7" s="34">
        <f>'Ann 1'!C22</f>
        <v>12.59</v>
      </c>
    </row>
    <row r="8" spans="1:4" x14ac:dyDescent="0.6">
      <c r="A8" s="24"/>
      <c r="B8" s="25" t="s">
        <v>8</v>
      </c>
      <c r="C8" s="55">
        <f>'Ann 1'!C34</f>
        <v>198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M29"/>
  <sheetViews>
    <sheetView workbookViewId="0">
      <selection activeCell="K2" sqref="K2"/>
    </sheetView>
  </sheetViews>
  <sheetFormatPr defaultRowHeight="17" x14ac:dyDescent="0.6"/>
  <cols>
    <col min="1" max="1" width="3.6328125" style="1" customWidth="1"/>
    <col min="2" max="2" width="26.08984375" style="1" customWidth="1"/>
    <col min="3" max="3" width="8.7265625" style="1"/>
    <col min="4" max="4" width="12.7265625" style="1" bestFit="1" customWidth="1"/>
    <col min="5" max="5" width="8.7265625" style="1"/>
    <col min="6" max="6" width="10.54296875" style="1" customWidth="1"/>
    <col min="7" max="7" width="11.1796875" style="1" bestFit="1" customWidth="1"/>
    <col min="8" max="16384" width="8.7265625" style="1"/>
  </cols>
  <sheetData>
    <row r="1" spans="1:7" x14ac:dyDescent="0.6">
      <c r="A1" s="9" t="s">
        <v>30</v>
      </c>
    </row>
    <row r="3" spans="1:7" x14ac:dyDescent="0.6">
      <c r="A3" s="74" t="s">
        <v>31</v>
      </c>
      <c r="B3" s="75"/>
      <c r="C3" s="75"/>
      <c r="D3" s="75"/>
      <c r="E3" s="75"/>
      <c r="F3" s="75"/>
      <c r="G3" s="76"/>
    </row>
    <row r="4" spans="1:7" x14ac:dyDescent="0.6">
      <c r="A4" s="56" t="s">
        <v>32</v>
      </c>
      <c r="B4" s="57"/>
      <c r="C4" s="57"/>
      <c r="D4" s="57" t="s">
        <v>33</v>
      </c>
      <c r="E4" s="57" t="s">
        <v>34</v>
      </c>
      <c r="F4" s="57" t="s">
        <v>35</v>
      </c>
      <c r="G4" s="58" t="s">
        <v>36</v>
      </c>
    </row>
    <row r="5" spans="1:7" x14ac:dyDescent="0.6">
      <c r="A5" s="31">
        <v>1</v>
      </c>
      <c r="B5" s="32" t="s">
        <v>38</v>
      </c>
      <c r="C5" s="32"/>
      <c r="D5" s="47" t="s">
        <v>42</v>
      </c>
      <c r="E5" s="47">
        <v>800</v>
      </c>
      <c r="F5" s="48"/>
      <c r="G5" s="40">
        <f>6000*500</f>
        <v>3000000</v>
      </c>
    </row>
    <row r="6" spans="1:7" s="9" customFormat="1" x14ac:dyDescent="0.6">
      <c r="A6" s="49" t="s">
        <v>37</v>
      </c>
      <c r="B6" s="50"/>
      <c r="C6" s="50"/>
      <c r="D6" s="50"/>
      <c r="E6" s="50"/>
      <c r="F6" s="50"/>
      <c r="G6" s="51">
        <f>G5</f>
        <v>3000000</v>
      </c>
    </row>
    <row r="7" spans="1:7" x14ac:dyDescent="0.6">
      <c r="A7" s="31"/>
      <c r="B7" s="32"/>
      <c r="C7" s="32"/>
      <c r="D7" s="32"/>
      <c r="E7" s="32"/>
      <c r="F7" s="32"/>
      <c r="G7" s="34"/>
    </row>
    <row r="8" spans="1:7" x14ac:dyDescent="0.6">
      <c r="A8" s="56" t="s">
        <v>41</v>
      </c>
      <c r="B8" s="57"/>
      <c r="C8" s="57"/>
      <c r="D8" s="57" t="s">
        <v>33</v>
      </c>
      <c r="E8" s="57" t="s">
        <v>34</v>
      </c>
      <c r="F8" s="57" t="s">
        <v>35</v>
      </c>
      <c r="G8" s="58" t="s">
        <v>36</v>
      </c>
    </row>
    <row r="9" spans="1:7" x14ac:dyDescent="0.6">
      <c r="A9" s="31">
        <v>1</v>
      </c>
      <c r="B9" s="32" t="s">
        <v>272</v>
      </c>
      <c r="C9" s="32"/>
      <c r="D9" s="47" t="s">
        <v>273</v>
      </c>
      <c r="E9" s="47">
        <v>1</v>
      </c>
      <c r="F9" s="48">
        <v>6500000</v>
      </c>
      <c r="G9" s="40">
        <f>F9</f>
        <v>6500000</v>
      </c>
    </row>
    <row r="10" spans="1:7" x14ac:dyDescent="0.6">
      <c r="A10" s="31">
        <v>2</v>
      </c>
      <c r="B10" s="32" t="s">
        <v>274</v>
      </c>
      <c r="C10" s="32"/>
      <c r="D10" s="47"/>
      <c r="E10" s="47">
        <v>2</v>
      </c>
      <c r="F10" s="48">
        <v>48000</v>
      </c>
      <c r="G10" s="40">
        <f>F10*E10</f>
        <v>96000</v>
      </c>
    </row>
    <row r="11" spans="1:7" x14ac:dyDescent="0.6">
      <c r="A11" s="31">
        <v>3</v>
      </c>
      <c r="B11" s="32" t="s">
        <v>39</v>
      </c>
      <c r="C11" s="32"/>
      <c r="D11" s="47" t="s">
        <v>43</v>
      </c>
      <c r="E11" s="47">
        <v>1500</v>
      </c>
      <c r="F11" s="48">
        <v>250</v>
      </c>
      <c r="G11" s="40">
        <f>F11*E11</f>
        <v>375000</v>
      </c>
    </row>
    <row r="12" spans="1:7" x14ac:dyDescent="0.6">
      <c r="A12" s="31">
        <v>4</v>
      </c>
      <c r="B12" s="32" t="s">
        <v>40</v>
      </c>
      <c r="C12" s="32"/>
      <c r="D12" s="47" t="s">
        <v>278</v>
      </c>
      <c r="E12" s="47">
        <v>1</v>
      </c>
      <c r="F12" s="48">
        <v>1800000</v>
      </c>
      <c r="G12" s="40">
        <f>F12*E12</f>
        <v>1800000</v>
      </c>
    </row>
    <row r="13" spans="1:7" x14ac:dyDescent="0.6">
      <c r="A13" s="31">
        <v>5</v>
      </c>
      <c r="B13" s="32" t="s">
        <v>275</v>
      </c>
      <c r="C13" s="32"/>
      <c r="D13" s="47"/>
      <c r="E13" s="47">
        <v>1</v>
      </c>
      <c r="F13" s="48">
        <v>750000</v>
      </c>
      <c r="G13" s="40">
        <f>E13*F13</f>
        <v>750000</v>
      </c>
    </row>
    <row r="14" spans="1:7" x14ac:dyDescent="0.6">
      <c r="A14" s="31">
        <v>6</v>
      </c>
      <c r="B14" s="32" t="s">
        <v>276</v>
      </c>
      <c r="C14" s="32"/>
      <c r="D14" s="47"/>
      <c r="E14" s="47">
        <v>2</v>
      </c>
      <c r="F14" s="48">
        <v>645000</v>
      </c>
      <c r="G14" s="40">
        <f>E14*F14</f>
        <v>1290000</v>
      </c>
    </row>
    <row r="15" spans="1:7" x14ac:dyDescent="0.6">
      <c r="A15" s="31">
        <v>7</v>
      </c>
      <c r="B15" s="32" t="s">
        <v>277</v>
      </c>
      <c r="C15" s="32"/>
      <c r="D15" s="47"/>
      <c r="E15" s="47">
        <v>1</v>
      </c>
      <c r="F15" s="48">
        <v>400000</v>
      </c>
      <c r="G15" s="40">
        <f>F15*E15</f>
        <v>400000</v>
      </c>
    </row>
    <row r="16" spans="1:7" x14ac:dyDescent="0.6">
      <c r="A16" s="31">
        <v>8</v>
      </c>
      <c r="B16" s="32" t="s">
        <v>281</v>
      </c>
      <c r="C16" s="32"/>
      <c r="D16" s="47"/>
      <c r="E16" s="47">
        <v>1</v>
      </c>
      <c r="F16" s="48">
        <v>300000</v>
      </c>
      <c r="G16" s="40">
        <f>F16*E16</f>
        <v>300000</v>
      </c>
    </row>
    <row r="17" spans="1:13" x14ac:dyDescent="0.6">
      <c r="A17" s="31">
        <v>9</v>
      </c>
      <c r="B17" s="32" t="s">
        <v>279</v>
      </c>
      <c r="C17" s="32"/>
      <c r="D17" s="47"/>
      <c r="E17" s="47"/>
      <c r="F17" s="48"/>
      <c r="G17" s="40">
        <v>2000000</v>
      </c>
    </row>
    <row r="18" spans="1:13" x14ac:dyDescent="0.6">
      <c r="A18" s="31">
        <v>10</v>
      </c>
      <c r="B18" s="32" t="s">
        <v>280</v>
      </c>
      <c r="C18" s="32"/>
      <c r="D18" s="47"/>
      <c r="E18" s="47"/>
      <c r="F18" s="48"/>
      <c r="G18" s="40">
        <v>300000</v>
      </c>
    </row>
    <row r="19" spans="1:13" x14ac:dyDescent="0.6">
      <c r="A19" s="31">
        <v>11</v>
      </c>
      <c r="B19" s="32" t="s">
        <v>282</v>
      </c>
      <c r="C19" s="32"/>
      <c r="D19" s="47"/>
      <c r="E19" s="47"/>
      <c r="F19" s="48"/>
      <c r="G19" s="40">
        <v>200000</v>
      </c>
    </row>
    <row r="20" spans="1:13" x14ac:dyDescent="0.6">
      <c r="A20" s="31">
        <v>12</v>
      </c>
      <c r="B20" s="32" t="s">
        <v>286</v>
      </c>
      <c r="C20" s="32"/>
      <c r="D20" s="47"/>
      <c r="E20" s="47">
        <v>1</v>
      </c>
      <c r="F20" s="48"/>
      <c r="G20" s="40">
        <v>400000</v>
      </c>
    </row>
    <row r="21" spans="1:13" x14ac:dyDescent="0.6">
      <c r="A21" s="31">
        <v>13</v>
      </c>
      <c r="B21" s="32" t="s">
        <v>287</v>
      </c>
      <c r="C21" s="32"/>
      <c r="D21" s="47"/>
      <c r="E21" s="47">
        <v>2</v>
      </c>
      <c r="F21" s="48"/>
      <c r="G21" s="40">
        <f>5000*E21</f>
        <v>10000</v>
      </c>
    </row>
    <row r="22" spans="1:13" x14ac:dyDescent="0.6">
      <c r="A22" s="31">
        <v>14</v>
      </c>
      <c r="B22" s="32" t="s">
        <v>288</v>
      </c>
      <c r="C22" s="32"/>
      <c r="D22" s="47"/>
      <c r="E22" s="47">
        <v>1</v>
      </c>
      <c r="F22" s="48"/>
      <c r="G22" s="40">
        <v>200000</v>
      </c>
    </row>
    <row r="23" spans="1:13" x14ac:dyDescent="0.6">
      <c r="A23" s="31">
        <v>15</v>
      </c>
      <c r="B23" s="32" t="s">
        <v>289</v>
      </c>
      <c r="C23" s="32"/>
      <c r="D23" s="47"/>
      <c r="E23" s="47">
        <v>1</v>
      </c>
      <c r="F23" s="48"/>
      <c r="G23" s="40">
        <v>350000</v>
      </c>
    </row>
    <row r="24" spans="1:13" s="9" customFormat="1" x14ac:dyDescent="0.6">
      <c r="A24" s="49" t="s">
        <v>44</v>
      </c>
      <c r="B24" s="50"/>
      <c r="C24" s="50"/>
      <c r="D24" s="50"/>
      <c r="E24" s="50"/>
      <c r="F24" s="50"/>
      <c r="G24" s="51">
        <f>SUM(G9:G23)</f>
        <v>14971000</v>
      </c>
      <c r="M24" s="1"/>
    </row>
    <row r="25" spans="1:13" x14ac:dyDescent="0.6">
      <c r="A25" s="31"/>
      <c r="B25" s="32"/>
      <c r="C25" s="32"/>
      <c r="D25" s="32"/>
      <c r="E25" s="32"/>
      <c r="F25" s="32"/>
      <c r="G25" s="34"/>
    </row>
    <row r="26" spans="1:13" s="9" customFormat="1" x14ac:dyDescent="0.6">
      <c r="A26" s="49" t="s">
        <v>45</v>
      </c>
      <c r="B26" s="50"/>
      <c r="C26" s="50"/>
      <c r="D26" s="50"/>
      <c r="E26" s="50"/>
      <c r="F26" s="50"/>
      <c r="G26" s="51">
        <f>G24+G6</f>
        <v>17971000</v>
      </c>
      <c r="M26" s="1"/>
    </row>
    <row r="27" spans="1:13" x14ac:dyDescent="0.6">
      <c r="G27" s="5"/>
    </row>
    <row r="28" spans="1:13" x14ac:dyDescent="0.6">
      <c r="B28" s="9"/>
      <c r="G28" s="5"/>
    </row>
    <row r="29" spans="1:13" x14ac:dyDescent="0.6">
      <c r="G29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27"/>
  <sheetViews>
    <sheetView topLeftCell="B18" workbookViewId="0">
      <selection activeCell="I16" sqref="I16"/>
    </sheetView>
  </sheetViews>
  <sheetFormatPr defaultRowHeight="17" x14ac:dyDescent="0.6"/>
  <cols>
    <col min="1" max="1" width="8.7265625" style="1"/>
    <col min="2" max="2" width="54.1796875" style="1" bestFit="1" customWidth="1"/>
    <col min="3" max="11" width="13.6328125" style="1" bestFit="1" customWidth="1"/>
    <col min="12" max="16384" width="8.7265625" style="1"/>
  </cols>
  <sheetData>
    <row r="1" spans="1:11" x14ac:dyDescent="0.6">
      <c r="A1" s="9" t="s">
        <v>46</v>
      </c>
    </row>
    <row r="3" spans="1:11" x14ac:dyDescent="0.6">
      <c r="A3" s="106" t="s">
        <v>47</v>
      </c>
      <c r="B3" s="106" t="s">
        <v>48</v>
      </c>
      <c r="C3" s="105" t="s">
        <v>58</v>
      </c>
      <c r="D3" s="105"/>
      <c r="E3" s="105"/>
      <c r="F3" s="105"/>
      <c r="G3" s="105"/>
      <c r="H3" s="105"/>
      <c r="I3" s="105"/>
      <c r="J3" s="105"/>
      <c r="K3" s="105"/>
    </row>
    <row r="4" spans="1:11" x14ac:dyDescent="0.6">
      <c r="A4" s="106"/>
      <c r="B4" s="106"/>
      <c r="C4" s="77" t="s">
        <v>49</v>
      </c>
      <c r="D4" s="77" t="s">
        <v>50</v>
      </c>
      <c r="E4" s="77" t="s">
        <v>51</v>
      </c>
      <c r="F4" s="77" t="s">
        <v>52</v>
      </c>
      <c r="G4" s="77" t="s">
        <v>53</v>
      </c>
      <c r="H4" s="77" t="s">
        <v>54</v>
      </c>
      <c r="I4" s="77" t="s">
        <v>55</v>
      </c>
      <c r="J4" s="77" t="s">
        <v>56</v>
      </c>
      <c r="K4" s="77" t="s">
        <v>57</v>
      </c>
    </row>
    <row r="5" spans="1:11" x14ac:dyDescent="0.6">
      <c r="A5" s="11"/>
      <c r="B5" s="11" t="s">
        <v>59</v>
      </c>
      <c r="C5" s="11">
        <v>12</v>
      </c>
      <c r="D5" s="11">
        <v>12</v>
      </c>
      <c r="E5" s="11">
        <v>12</v>
      </c>
      <c r="F5" s="11">
        <v>12</v>
      </c>
      <c r="G5" s="11">
        <v>12</v>
      </c>
      <c r="H5" s="11">
        <v>12</v>
      </c>
      <c r="I5" s="11">
        <v>12</v>
      </c>
      <c r="J5" s="11">
        <v>12</v>
      </c>
      <c r="K5" s="11">
        <v>12</v>
      </c>
    </row>
    <row r="6" spans="1:11" x14ac:dyDescent="0.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6">
      <c r="A7" s="11"/>
      <c r="B7" s="11" t="s">
        <v>283</v>
      </c>
      <c r="C7" s="14">
        <f>10%*C12</f>
        <v>360000</v>
      </c>
      <c r="D7" s="14">
        <f t="shared" ref="D7:K7" si="0">10%*D12</f>
        <v>384000</v>
      </c>
      <c r="E7" s="14">
        <f t="shared" si="0"/>
        <v>408000</v>
      </c>
      <c r="F7" s="14">
        <f t="shared" si="0"/>
        <v>432000</v>
      </c>
      <c r="G7" s="14">
        <f t="shared" si="0"/>
        <v>456000</v>
      </c>
      <c r="H7" s="14">
        <f t="shared" si="0"/>
        <v>480000</v>
      </c>
      <c r="I7" s="14">
        <f t="shared" si="0"/>
        <v>480000</v>
      </c>
      <c r="J7" s="14">
        <f t="shared" si="0"/>
        <v>480000</v>
      </c>
      <c r="K7" s="14">
        <f t="shared" si="0"/>
        <v>480000</v>
      </c>
    </row>
    <row r="8" spans="1:11" x14ac:dyDescent="0.6">
      <c r="A8" s="11"/>
      <c r="B8" s="11" t="s">
        <v>60</v>
      </c>
      <c r="C8" s="14">
        <f>C7</f>
        <v>360000</v>
      </c>
      <c r="D8" s="14">
        <f t="shared" ref="D8:K8" si="1">D7</f>
        <v>384000</v>
      </c>
      <c r="E8" s="14">
        <f t="shared" si="1"/>
        <v>408000</v>
      </c>
      <c r="F8" s="14">
        <f t="shared" si="1"/>
        <v>432000</v>
      </c>
      <c r="G8" s="14">
        <f t="shared" si="1"/>
        <v>456000</v>
      </c>
      <c r="H8" s="14">
        <f t="shared" si="1"/>
        <v>480000</v>
      </c>
      <c r="I8" s="14">
        <f t="shared" si="1"/>
        <v>480000</v>
      </c>
      <c r="J8" s="14">
        <f t="shared" si="1"/>
        <v>480000</v>
      </c>
      <c r="K8" s="14">
        <f t="shared" si="1"/>
        <v>480000</v>
      </c>
    </row>
    <row r="9" spans="1:11" x14ac:dyDescent="0.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6">
      <c r="A11" s="11"/>
      <c r="B11" s="11" t="s">
        <v>155</v>
      </c>
      <c r="C11" s="14">
        <f>C8</f>
        <v>360000</v>
      </c>
      <c r="D11" s="14">
        <f t="shared" ref="D11:K11" si="2">D8</f>
        <v>384000</v>
      </c>
      <c r="E11" s="14">
        <f t="shared" si="2"/>
        <v>408000</v>
      </c>
      <c r="F11" s="14">
        <f t="shared" si="2"/>
        <v>432000</v>
      </c>
      <c r="G11" s="14">
        <f t="shared" si="2"/>
        <v>456000</v>
      </c>
      <c r="H11" s="14">
        <f t="shared" si="2"/>
        <v>480000</v>
      </c>
      <c r="I11" s="14">
        <f t="shared" si="2"/>
        <v>480000</v>
      </c>
      <c r="J11" s="14">
        <f t="shared" si="2"/>
        <v>480000</v>
      </c>
      <c r="K11" s="14">
        <f t="shared" si="2"/>
        <v>480000</v>
      </c>
    </row>
    <row r="12" spans="1:11" x14ac:dyDescent="0.6">
      <c r="A12" s="11"/>
      <c r="B12" s="11" t="s">
        <v>156</v>
      </c>
      <c r="C12" s="14">
        <f>Budgets!B5</f>
        <v>3600000</v>
      </c>
      <c r="D12" s="14">
        <f>Budgets!C5</f>
        <v>3840000</v>
      </c>
      <c r="E12" s="14">
        <f>Budgets!D5</f>
        <v>4080000</v>
      </c>
      <c r="F12" s="14">
        <f>Budgets!E5</f>
        <v>4320000</v>
      </c>
      <c r="G12" s="14">
        <f>Budgets!F5</f>
        <v>4560000</v>
      </c>
      <c r="H12" s="14">
        <f>Budgets!G5</f>
        <v>4800000</v>
      </c>
      <c r="I12" s="14">
        <f>Budgets!H5</f>
        <v>4800000</v>
      </c>
      <c r="J12" s="14">
        <f>Budgets!I5</f>
        <v>4800000</v>
      </c>
      <c r="K12" s="14">
        <f>Budgets!J5</f>
        <v>4800000</v>
      </c>
    </row>
    <row r="13" spans="1:11" x14ac:dyDescent="0.6">
      <c r="A13" s="11"/>
      <c r="B13" s="11" t="s">
        <v>157</v>
      </c>
      <c r="C13" s="14">
        <f>C12-C11</f>
        <v>3240000</v>
      </c>
      <c r="D13" s="14">
        <f t="shared" ref="D13:K13" si="3">D12-D11</f>
        <v>3456000</v>
      </c>
      <c r="E13" s="14">
        <f t="shared" si="3"/>
        <v>3672000</v>
      </c>
      <c r="F13" s="14">
        <f t="shared" si="3"/>
        <v>3888000</v>
      </c>
      <c r="G13" s="14">
        <f t="shared" si="3"/>
        <v>4104000</v>
      </c>
      <c r="H13" s="14">
        <f t="shared" si="3"/>
        <v>4320000</v>
      </c>
      <c r="I13" s="14">
        <f t="shared" si="3"/>
        <v>4320000</v>
      </c>
      <c r="J13" s="14">
        <f t="shared" si="3"/>
        <v>4320000</v>
      </c>
      <c r="K13" s="14">
        <f t="shared" si="3"/>
        <v>4320000</v>
      </c>
    </row>
    <row r="14" spans="1:11" x14ac:dyDescent="0.6">
      <c r="A14" s="11"/>
      <c r="B14" s="11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6">
      <c r="A15" s="11"/>
      <c r="B15" s="11" t="s">
        <v>158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6">
      <c r="A16" s="11"/>
      <c r="B16" s="11" t="s">
        <v>159</v>
      </c>
      <c r="C16" s="14">
        <f>SUM('Ann 13'!E9:E12)*100000</f>
        <v>993659.99999999988</v>
      </c>
      <c r="D16" s="14">
        <f>SUM('Ann 13'!E13:E16)*100000</f>
        <v>931556.24999999965</v>
      </c>
      <c r="E16" s="14">
        <f>SUM('Ann 13'!E17:E20)*100000</f>
        <v>765946.24999999988</v>
      </c>
      <c r="F16" s="14">
        <f>SUM('Ann 13'!E21:E24)*100000</f>
        <v>600336.24999999965</v>
      </c>
      <c r="G16" s="14">
        <f>SUM('Ann 13'!E25:E28)*100000</f>
        <v>434726.24999999948</v>
      </c>
      <c r="H16" s="14">
        <f>SUM('Ann 13'!E29:E32)*100000</f>
        <v>269116.24999999948</v>
      </c>
      <c r="I16" s="14">
        <f>SUM('Ann 13'!E33:E36)*100000</f>
        <v>103506.24999999953</v>
      </c>
      <c r="J16" s="14">
        <v>0</v>
      </c>
      <c r="K16" s="14">
        <v>0</v>
      </c>
    </row>
    <row r="17" spans="1:11" x14ac:dyDescent="0.6">
      <c r="A17" s="11"/>
      <c r="B17" s="11" t="s">
        <v>160</v>
      </c>
      <c r="C17" s="14">
        <f>'Ann 2'!$C$7*100000*10%</f>
        <v>125900</v>
      </c>
      <c r="D17" s="14">
        <f>'Ann 2'!$C$7*100000*10%</f>
        <v>125900</v>
      </c>
      <c r="E17" s="14">
        <f>'Ann 2'!$C$7*100000*10%</f>
        <v>125900</v>
      </c>
      <c r="F17" s="14">
        <f>'Ann 2'!$C$7*100000*10%</f>
        <v>125900</v>
      </c>
      <c r="G17" s="14">
        <f>'Ann 2'!$C$7*100000*10%</f>
        <v>125900</v>
      </c>
      <c r="H17" s="14">
        <f>'Ann 2'!$C$7*100000*10%</f>
        <v>125900</v>
      </c>
      <c r="I17" s="14">
        <f>'Ann 2'!$C$7*100000*10%</f>
        <v>125900</v>
      </c>
      <c r="J17" s="14">
        <f>'Ann 2'!$C$7*100000*10%</f>
        <v>125900</v>
      </c>
      <c r="K17" s="14">
        <f>'Ann 2'!$C$7*100000*10%</f>
        <v>125900</v>
      </c>
    </row>
    <row r="18" spans="1:11" x14ac:dyDescent="0.6">
      <c r="A18" s="11"/>
      <c r="B18" s="46" t="s">
        <v>171</v>
      </c>
      <c r="C18" s="14">
        <f>SUM(C16:C17)</f>
        <v>1119560</v>
      </c>
      <c r="D18" s="14">
        <f t="shared" ref="D18:K18" si="4">SUM(D16:D17)</f>
        <v>1057456.2499999995</v>
      </c>
      <c r="E18" s="14">
        <f t="shared" si="4"/>
        <v>891846.24999999988</v>
      </c>
      <c r="F18" s="14">
        <f t="shared" si="4"/>
        <v>726236.24999999965</v>
      </c>
      <c r="G18" s="14">
        <f t="shared" si="4"/>
        <v>560626.24999999953</v>
      </c>
      <c r="H18" s="14">
        <f t="shared" si="4"/>
        <v>395016.24999999948</v>
      </c>
      <c r="I18" s="14">
        <f t="shared" si="4"/>
        <v>229406.24999999953</v>
      </c>
      <c r="J18" s="14">
        <f t="shared" si="4"/>
        <v>125900</v>
      </c>
      <c r="K18" s="14">
        <f t="shared" si="4"/>
        <v>125900</v>
      </c>
    </row>
    <row r="19" spans="1:11" x14ac:dyDescent="0.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6">
      <c r="A20" s="11"/>
      <c r="B20" s="11" t="s">
        <v>172</v>
      </c>
      <c r="C20" s="14">
        <f>C13-C18</f>
        <v>2120440</v>
      </c>
      <c r="D20" s="14">
        <f t="shared" ref="D20:K20" si="5">D13-D18</f>
        <v>2398543.7500000005</v>
      </c>
      <c r="E20" s="14">
        <f t="shared" si="5"/>
        <v>2780153.75</v>
      </c>
      <c r="F20" s="14">
        <f t="shared" si="5"/>
        <v>3161763.7500000005</v>
      </c>
      <c r="G20" s="14">
        <f t="shared" si="5"/>
        <v>3543373.7500000005</v>
      </c>
      <c r="H20" s="14">
        <f t="shared" si="5"/>
        <v>3924983.7500000005</v>
      </c>
      <c r="I20" s="14">
        <f t="shared" si="5"/>
        <v>4090593.7500000005</v>
      </c>
      <c r="J20" s="14">
        <f t="shared" si="5"/>
        <v>4194100</v>
      </c>
      <c r="K20" s="14">
        <f t="shared" si="5"/>
        <v>4194100</v>
      </c>
    </row>
    <row r="21" spans="1:11" x14ac:dyDescent="0.6">
      <c r="A21" s="11"/>
      <c r="B21" s="11" t="s">
        <v>173</v>
      </c>
      <c r="C21" s="14">
        <f>'Ann 1'!C32*100000</f>
        <v>70000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x14ac:dyDescent="0.6">
      <c r="A22" s="11"/>
      <c r="B22" s="46" t="s">
        <v>174</v>
      </c>
      <c r="C22" s="14">
        <f>'Ann 9'!C12+'Ann 9'!D12+'Ann 9'!E12</f>
        <v>2545650</v>
      </c>
      <c r="D22" s="14">
        <f>'Ann 9'!C13+'Ann 9'!D13+'Ann 9'!E13</f>
        <v>2178802.5</v>
      </c>
      <c r="E22" s="14">
        <f>'Ann 9'!C14+'Ann 9'!D14+'Ann 9'!E14</f>
        <v>1865482.125</v>
      </c>
      <c r="F22" s="14">
        <f>'Ann 9'!C15+'Ann 9'!D15+'Ann 9'!E15</f>
        <v>1597809.8062499999</v>
      </c>
      <c r="G22" s="14">
        <f>'Ann 9'!C16+'Ann 9'!D16+'Ann 9'!E16</f>
        <v>1369073.3353124999</v>
      </c>
      <c r="H22" s="14">
        <f>'Ann 9'!C17+'Ann 9'!D17+'Ann 9'!E17</f>
        <v>1173553.835015625</v>
      </c>
      <c r="I22" s="14">
        <f>'Ann 9'!C18+'Ann 9'!D18+'Ann 9'!E18</f>
        <v>1006378.1097632813</v>
      </c>
      <c r="J22" s="14">
        <f>'Ann 9'!C19+'Ann 9'!D19+'Ann 9'!E19</f>
        <v>863393.00829878892</v>
      </c>
      <c r="K22" s="14">
        <f>'Ann 9'!C20+'Ann 9'!D20+'Ann 9'!E20</f>
        <v>741058.5105539707</v>
      </c>
    </row>
    <row r="23" spans="1:11" x14ac:dyDescent="0.6">
      <c r="A23" s="11"/>
      <c r="B23" s="46" t="s">
        <v>175</v>
      </c>
      <c r="C23" s="14">
        <f t="shared" ref="C23:I23" si="6">C20-C21-C22</f>
        <v>-495210</v>
      </c>
      <c r="D23" s="14">
        <f t="shared" si="6"/>
        <v>219741.25000000047</v>
      </c>
      <c r="E23" s="14">
        <f t="shared" si="6"/>
        <v>914671.625</v>
      </c>
      <c r="F23" s="14">
        <f t="shared" si="6"/>
        <v>1563953.9437500006</v>
      </c>
      <c r="G23" s="14">
        <f t="shared" si="6"/>
        <v>2174300.4146875003</v>
      </c>
      <c r="H23" s="14">
        <f t="shared" si="6"/>
        <v>2751429.9149843752</v>
      </c>
      <c r="I23" s="14">
        <f t="shared" si="6"/>
        <v>3084215.640236719</v>
      </c>
      <c r="J23" s="14">
        <f t="shared" ref="J23:K23" si="7">J20-J21-J22</f>
        <v>3330706.9917012108</v>
      </c>
      <c r="K23" s="14">
        <f t="shared" si="7"/>
        <v>3453041.4894460291</v>
      </c>
    </row>
    <row r="24" spans="1:11" x14ac:dyDescent="0.6">
      <c r="A24" s="11"/>
      <c r="B24" s="46" t="s">
        <v>291</v>
      </c>
      <c r="C24" s="14">
        <f>'Ann 10'!B14</f>
        <v>-127563</v>
      </c>
      <c r="D24" s="14">
        <f>'Ann 10'!C14</f>
        <v>65922.375000000131</v>
      </c>
      <c r="E24" s="14">
        <f>'Ann 10'!D14</f>
        <v>274401.48749999999</v>
      </c>
      <c r="F24" s="14">
        <f>'Ann 10'!E14</f>
        <v>469186.18312500016</v>
      </c>
      <c r="G24" s="14">
        <f>'Ann 10'!F14</f>
        <v>652290.12440625008</v>
      </c>
      <c r="H24" s="14">
        <f>'Ann 10'!G14</f>
        <v>825428.97449531255</v>
      </c>
      <c r="I24" s="14">
        <f>'Ann 10'!H14</f>
        <v>925264.69207101571</v>
      </c>
      <c r="J24" s="14">
        <f>'Ann 10'!I14</f>
        <v>999212.09751036321</v>
      </c>
      <c r="K24" s="14">
        <f>'Ann 10'!J14</f>
        <v>1035912.4468338087</v>
      </c>
    </row>
    <row r="25" spans="1:11" x14ac:dyDescent="0.6">
      <c r="A25" s="11"/>
      <c r="B25" s="46" t="s">
        <v>176</v>
      </c>
      <c r="C25" s="14">
        <f>C23-C24</f>
        <v>-367647</v>
      </c>
      <c r="D25" s="14">
        <f>D23-D24</f>
        <v>153818.87500000035</v>
      </c>
      <c r="E25" s="14">
        <f t="shared" ref="E25:K25" si="8">E23-E24</f>
        <v>640270.13749999995</v>
      </c>
      <c r="F25" s="14">
        <f t="shared" si="8"/>
        <v>1094767.7606250003</v>
      </c>
      <c r="G25" s="14">
        <f t="shared" si="8"/>
        <v>1522010.2902812501</v>
      </c>
      <c r="H25" s="14">
        <f t="shared" si="8"/>
        <v>1926000.9404890626</v>
      </c>
      <c r="I25" s="14">
        <f t="shared" si="8"/>
        <v>2158950.9481657036</v>
      </c>
      <c r="J25" s="14">
        <f t="shared" si="8"/>
        <v>2331494.8941908479</v>
      </c>
      <c r="K25" s="14">
        <f t="shared" si="8"/>
        <v>2417129.0426122202</v>
      </c>
    </row>
    <row r="26" spans="1:11" x14ac:dyDescent="0.6">
      <c r="A26" s="11"/>
      <c r="B26" s="46" t="s">
        <v>177</v>
      </c>
      <c r="C26" s="14">
        <v>0</v>
      </c>
      <c r="D26" s="14">
        <f t="shared" ref="D26:K26" si="9">D25*80%</f>
        <v>123055.10000000028</v>
      </c>
      <c r="E26" s="14">
        <f t="shared" si="9"/>
        <v>512216.11</v>
      </c>
      <c r="F26" s="14">
        <f t="shared" si="9"/>
        <v>875814.2085000003</v>
      </c>
      <c r="G26" s="14">
        <f t="shared" si="9"/>
        <v>1217608.2322250002</v>
      </c>
      <c r="H26" s="14">
        <f t="shared" si="9"/>
        <v>1540800.7523912501</v>
      </c>
      <c r="I26" s="14">
        <f t="shared" si="9"/>
        <v>1727160.758532563</v>
      </c>
      <c r="J26" s="14">
        <f t="shared" si="9"/>
        <v>1865195.9153526784</v>
      </c>
      <c r="K26" s="14">
        <f t="shared" si="9"/>
        <v>1933703.2340897762</v>
      </c>
    </row>
    <row r="27" spans="1:11" x14ac:dyDescent="0.6">
      <c r="A27" s="11"/>
      <c r="B27" s="46" t="s">
        <v>189</v>
      </c>
      <c r="C27" s="14">
        <f>C25-C26</f>
        <v>-367647</v>
      </c>
      <c r="D27" s="14">
        <f t="shared" ref="D27:K27" si="10">D25-D26</f>
        <v>30763.775000000067</v>
      </c>
      <c r="E27" s="14">
        <f t="shared" si="10"/>
        <v>128054.02749999997</v>
      </c>
      <c r="F27" s="14">
        <f t="shared" si="10"/>
        <v>218953.55212500005</v>
      </c>
      <c r="G27" s="14">
        <f t="shared" si="10"/>
        <v>304402.05805624998</v>
      </c>
      <c r="H27" s="14">
        <f t="shared" si="10"/>
        <v>385200.18809781247</v>
      </c>
      <c r="I27" s="14">
        <f t="shared" si="10"/>
        <v>431790.18963314057</v>
      </c>
      <c r="J27" s="14">
        <f t="shared" si="10"/>
        <v>466298.97883816948</v>
      </c>
      <c r="K27" s="14">
        <f t="shared" si="10"/>
        <v>483425.80852244399</v>
      </c>
    </row>
  </sheetData>
  <mergeCells count="3">
    <mergeCell ref="C3:K3"/>
    <mergeCell ref="A3:A4"/>
    <mergeCell ref="B3:B4"/>
  </mergeCells>
  <pageMargins left="0.7" right="0.7" top="0.75" bottom="0.75" header="0.3" footer="0.3"/>
  <pageSetup scale="65" orientation="landscape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L53"/>
  <sheetViews>
    <sheetView topLeftCell="A42" workbookViewId="0">
      <selection activeCell="C22" sqref="C22"/>
    </sheetView>
  </sheetViews>
  <sheetFormatPr defaultRowHeight="17" x14ac:dyDescent="0.6"/>
  <cols>
    <col min="1" max="1" width="8.7265625" style="1"/>
    <col min="2" max="2" width="28.26953125" style="1" customWidth="1"/>
    <col min="3" max="3" width="15.6328125" style="1" bestFit="1" customWidth="1"/>
    <col min="4" max="9" width="13.6328125" style="1" bestFit="1" customWidth="1"/>
    <col min="10" max="11" width="12.54296875" style="1" bestFit="1" customWidth="1"/>
    <col min="12" max="12" width="10" style="1" bestFit="1" customWidth="1"/>
    <col min="13" max="16384" width="8.7265625" style="1"/>
  </cols>
  <sheetData>
    <row r="1" spans="1:11" x14ac:dyDescent="0.6">
      <c r="A1" s="9" t="s">
        <v>190</v>
      </c>
    </row>
    <row r="3" spans="1:11" x14ac:dyDescent="0.6">
      <c r="A3" s="1" t="s">
        <v>191</v>
      </c>
    </row>
    <row r="5" spans="1:11" x14ac:dyDescent="0.6">
      <c r="A5" s="106" t="s">
        <v>47</v>
      </c>
      <c r="B5" s="106" t="s">
        <v>48</v>
      </c>
      <c r="C5" s="106" t="s">
        <v>58</v>
      </c>
      <c r="D5" s="106"/>
      <c r="E5" s="106"/>
      <c r="F5" s="106"/>
      <c r="G5" s="106"/>
      <c r="H5" s="106"/>
      <c r="I5" s="106"/>
      <c r="J5" s="106"/>
      <c r="K5" s="106"/>
    </row>
    <row r="6" spans="1:11" x14ac:dyDescent="0.6">
      <c r="A6" s="106"/>
      <c r="B6" s="106"/>
      <c r="C6" s="87" t="s">
        <v>49</v>
      </c>
      <c r="D6" s="87" t="s">
        <v>50</v>
      </c>
      <c r="E6" s="87" t="s">
        <v>51</v>
      </c>
      <c r="F6" s="87" t="s">
        <v>52</v>
      </c>
      <c r="G6" s="87" t="s">
        <v>53</v>
      </c>
      <c r="H6" s="87" t="s">
        <v>54</v>
      </c>
      <c r="I6" s="87" t="s">
        <v>55</v>
      </c>
      <c r="J6" s="87" t="s">
        <v>56</v>
      </c>
      <c r="K6" s="87" t="s">
        <v>57</v>
      </c>
    </row>
    <row r="7" spans="1:11" x14ac:dyDescent="0.6">
      <c r="A7" s="18" t="s">
        <v>226</v>
      </c>
      <c r="B7" s="29" t="s">
        <v>192</v>
      </c>
      <c r="C7" s="30"/>
      <c r="D7" s="30"/>
      <c r="E7" s="20"/>
      <c r="F7" s="20"/>
      <c r="G7" s="20"/>
      <c r="H7" s="20"/>
      <c r="I7" s="20"/>
      <c r="J7" s="20"/>
      <c r="K7" s="20"/>
    </row>
    <row r="8" spans="1:11" x14ac:dyDescent="0.6">
      <c r="A8" s="31">
        <v>1</v>
      </c>
      <c r="B8" s="32" t="s">
        <v>193</v>
      </c>
      <c r="C8" s="33"/>
      <c r="D8" s="33"/>
      <c r="E8" s="34"/>
      <c r="F8" s="34"/>
      <c r="G8" s="34"/>
      <c r="H8" s="34"/>
      <c r="I8" s="34"/>
      <c r="J8" s="34"/>
      <c r="K8" s="34"/>
    </row>
    <row r="9" spans="1:11" x14ac:dyDescent="0.6">
      <c r="A9" s="31"/>
      <c r="B9" s="32" t="s">
        <v>194</v>
      </c>
      <c r="C9" s="35">
        <f>'Ann 9'!C6+'Ann 9'!D6+'Ann 9'!E6</f>
        <v>17971000</v>
      </c>
      <c r="D9" s="36">
        <f>C11</f>
        <v>15425350</v>
      </c>
      <c r="E9" s="37">
        <f t="shared" ref="E9:K9" si="0">D11</f>
        <v>13246547.5</v>
      </c>
      <c r="F9" s="37">
        <f t="shared" si="0"/>
        <v>11381065.375</v>
      </c>
      <c r="G9" s="37">
        <f t="shared" si="0"/>
        <v>9783255.5687499996</v>
      </c>
      <c r="H9" s="37">
        <f t="shared" si="0"/>
        <v>8414182.233437499</v>
      </c>
      <c r="I9" s="37">
        <f t="shared" si="0"/>
        <v>7240628.3984218743</v>
      </c>
      <c r="J9" s="37">
        <f t="shared" si="0"/>
        <v>6234250.2886585928</v>
      </c>
      <c r="K9" s="37">
        <f t="shared" si="0"/>
        <v>5370857.2803598037</v>
      </c>
    </row>
    <row r="10" spans="1:11" x14ac:dyDescent="0.6">
      <c r="A10" s="31"/>
      <c r="B10" s="32" t="s">
        <v>195</v>
      </c>
      <c r="C10" s="35">
        <f>'Ann 9'!C12+'Ann 9'!D12+'Ann 9'!E12</f>
        <v>2545650</v>
      </c>
      <c r="D10" s="36">
        <f>'Ann 9'!C13+'Ann 9'!D13+'Ann 9'!E13</f>
        <v>2178802.5</v>
      </c>
      <c r="E10" s="37">
        <f>'Ann 9'!C14+'Ann 9'!D14+'Ann 9'!E14</f>
        <v>1865482.125</v>
      </c>
      <c r="F10" s="37">
        <f>'Ann 9'!C15+'Ann 9'!D15+'Ann 9'!E15</f>
        <v>1597809.8062499999</v>
      </c>
      <c r="G10" s="37">
        <f>'Ann 9'!C16+'Ann 9'!D16+'Ann 9'!E16</f>
        <v>1369073.3353124999</v>
      </c>
      <c r="H10" s="37">
        <f>'Ann 9'!C17+'Ann 9'!D17+'Ann 9'!E17</f>
        <v>1173553.835015625</v>
      </c>
      <c r="I10" s="37">
        <f>+'Ann 9'!C18+'Ann 9'!D18+'Ann 9'!E18</f>
        <v>1006378.1097632813</v>
      </c>
      <c r="J10" s="37">
        <f>'Ann 9'!C19+'Ann 9'!D19+'Ann 9'!E19</f>
        <v>863393.00829878892</v>
      </c>
      <c r="K10" s="37">
        <f>+'Ann 9'!C20+'Ann 9'!D20+'Ann 9'!E20</f>
        <v>741058.5105539707</v>
      </c>
    </row>
    <row r="11" spans="1:11" x14ac:dyDescent="0.6">
      <c r="A11" s="31"/>
      <c r="B11" s="32" t="s">
        <v>196</v>
      </c>
      <c r="C11" s="35">
        <f>C9-C10</f>
        <v>15425350</v>
      </c>
      <c r="D11" s="36">
        <f>D9-D10</f>
        <v>13246547.5</v>
      </c>
      <c r="E11" s="37">
        <f t="shared" ref="E11:K11" si="1">E9-E10</f>
        <v>11381065.375</v>
      </c>
      <c r="F11" s="37">
        <f t="shared" si="1"/>
        <v>9783255.5687499996</v>
      </c>
      <c r="G11" s="37">
        <f t="shared" si="1"/>
        <v>8414182.233437499</v>
      </c>
      <c r="H11" s="37">
        <f t="shared" si="1"/>
        <v>7240628.3984218743</v>
      </c>
      <c r="I11" s="37">
        <f t="shared" si="1"/>
        <v>6234250.2886585928</v>
      </c>
      <c r="J11" s="37">
        <f t="shared" si="1"/>
        <v>5370857.2803598037</v>
      </c>
      <c r="K11" s="37">
        <f t="shared" si="1"/>
        <v>4629798.7698058328</v>
      </c>
    </row>
    <row r="12" spans="1:11" x14ac:dyDescent="0.6">
      <c r="A12" s="31">
        <v>2</v>
      </c>
      <c r="B12" s="32" t="s">
        <v>197</v>
      </c>
      <c r="C12" s="35">
        <f>'Ann 4'!C12*30/300</f>
        <v>360000</v>
      </c>
      <c r="D12" s="35">
        <f>'Ann 4'!D12*30/300</f>
        <v>384000</v>
      </c>
      <c r="E12" s="35">
        <f>'Ann 4'!E12*30/300</f>
        <v>408000</v>
      </c>
      <c r="F12" s="35">
        <f>'Ann 4'!F12*30/300</f>
        <v>432000</v>
      </c>
      <c r="G12" s="35">
        <f>'Ann 4'!G12*30/300</f>
        <v>456000</v>
      </c>
      <c r="H12" s="35">
        <f>'Ann 4'!H12*30/300</f>
        <v>480000</v>
      </c>
      <c r="I12" s="35">
        <f>'Ann 4'!I12*30/300</f>
        <v>480000</v>
      </c>
      <c r="J12" s="35">
        <f>'Ann 4'!J12*30/300</f>
        <v>480000</v>
      </c>
      <c r="K12" s="35">
        <f>'Ann 4'!K12*30/300</f>
        <v>480000</v>
      </c>
    </row>
    <row r="13" spans="1:11" x14ac:dyDescent="0.6">
      <c r="A13" s="31">
        <v>3</v>
      </c>
      <c r="B13" s="32" t="s">
        <v>198</v>
      </c>
      <c r="C13" s="39">
        <f>'Ann 14'!C20</f>
        <v>3755003</v>
      </c>
      <c r="D13" s="39">
        <f>'Ann 14'!D20</f>
        <v>3187602.6083333329</v>
      </c>
      <c r="E13" s="39">
        <f>'Ann 14'!E20</f>
        <v>2404172.0941666658</v>
      </c>
      <c r="F13" s="39">
        <f>'Ann 14'!F20</f>
        <v>1443968.7858749987</v>
      </c>
      <c r="G13" s="39">
        <f>'Ann 14'!G20</f>
        <v>340477.51257708156</v>
      </c>
      <c r="H13" s="39">
        <f>'Ann 14'!H20</f>
        <v>1613315.2856905197</v>
      </c>
      <c r="I13" s="39">
        <f>'Ann 14'!I20</f>
        <v>3051483.5850869408</v>
      </c>
      <c r="J13" s="39">
        <f>'Ann 14'!J20</f>
        <v>4381175.5722238999</v>
      </c>
      <c r="K13" s="39">
        <f>'Ann 14'!K20</f>
        <v>5605659.891300315</v>
      </c>
    </row>
    <row r="14" spans="1:11" x14ac:dyDescent="0.6">
      <c r="A14" s="31"/>
      <c r="B14" s="32" t="s">
        <v>206</v>
      </c>
      <c r="C14" s="35">
        <f t="shared" ref="C14:K14" si="2">SUM(C11:C13)</f>
        <v>19540353</v>
      </c>
      <c r="D14" s="35">
        <f t="shared" si="2"/>
        <v>16818150.108333334</v>
      </c>
      <c r="E14" s="38">
        <f t="shared" si="2"/>
        <v>14193237.469166666</v>
      </c>
      <c r="F14" s="38">
        <f t="shared" si="2"/>
        <v>11659224.354624998</v>
      </c>
      <c r="G14" s="38">
        <f t="shared" si="2"/>
        <v>9210659.7460145801</v>
      </c>
      <c r="H14" s="38">
        <f t="shared" si="2"/>
        <v>9333943.6841123942</v>
      </c>
      <c r="I14" s="38">
        <f t="shared" si="2"/>
        <v>9765733.8737455346</v>
      </c>
      <c r="J14" s="38">
        <f t="shared" si="2"/>
        <v>10232032.852583703</v>
      </c>
      <c r="K14" s="38">
        <f t="shared" si="2"/>
        <v>10715458.661106147</v>
      </c>
    </row>
    <row r="15" spans="1:11" x14ac:dyDescent="0.6">
      <c r="A15" s="31"/>
      <c r="B15" s="32"/>
      <c r="C15" s="35"/>
      <c r="D15" s="35"/>
      <c r="E15" s="38"/>
      <c r="F15" s="38"/>
      <c r="G15" s="38"/>
      <c r="H15" s="38"/>
      <c r="I15" s="38"/>
      <c r="J15" s="38"/>
      <c r="K15" s="38"/>
    </row>
    <row r="16" spans="1:11" x14ac:dyDescent="0.6">
      <c r="A16" s="31" t="s">
        <v>227</v>
      </c>
      <c r="B16" s="41" t="s">
        <v>199</v>
      </c>
      <c r="C16" s="33"/>
      <c r="D16" s="33"/>
      <c r="E16" s="34"/>
      <c r="F16" s="34"/>
      <c r="G16" s="34"/>
      <c r="H16" s="34"/>
      <c r="I16" s="34"/>
      <c r="J16" s="34"/>
      <c r="K16" s="34"/>
    </row>
    <row r="17" spans="1:12" x14ac:dyDescent="0.6">
      <c r="A17" s="31">
        <v>1</v>
      </c>
      <c r="B17" s="32" t="s">
        <v>200</v>
      </c>
      <c r="C17" s="39">
        <f>'Ann 2'!C4*100000</f>
        <v>1980000</v>
      </c>
      <c r="D17" s="39">
        <f>C20</f>
        <v>1612353</v>
      </c>
      <c r="E17" s="40">
        <f t="shared" ref="E17:K17" si="3">D20</f>
        <v>1643116.7750000001</v>
      </c>
      <c r="F17" s="40">
        <f t="shared" si="3"/>
        <v>1771170.8025000002</v>
      </c>
      <c r="G17" s="40">
        <f t="shared" si="3"/>
        <v>1990124.3546250002</v>
      </c>
      <c r="H17" s="40">
        <f t="shared" si="3"/>
        <v>2294526.4126812499</v>
      </c>
      <c r="I17" s="40">
        <f t="shared" si="3"/>
        <v>2679726.6007790621</v>
      </c>
      <c r="J17" s="40">
        <f t="shared" si="3"/>
        <v>3111516.7904122025</v>
      </c>
      <c r="K17" s="40">
        <f t="shared" si="3"/>
        <v>3577815.769250372</v>
      </c>
    </row>
    <row r="18" spans="1:12" x14ac:dyDescent="0.6">
      <c r="A18" s="31"/>
      <c r="B18" s="32" t="s">
        <v>201</v>
      </c>
      <c r="C18" s="39">
        <f>'Ann 4'!C27</f>
        <v>-367647</v>
      </c>
      <c r="D18" s="39">
        <f>'Ann 4'!D27</f>
        <v>30763.775000000067</v>
      </c>
      <c r="E18" s="40">
        <f>'Ann 4'!E27</f>
        <v>128054.02749999997</v>
      </c>
      <c r="F18" s="40">
        <f>'Ann 4'!F27</f>
        <v>218953.55212500005</v>
      </c>
      <c r="G18" s="40">
        <f>'Ann 4'!G27</f>
        <v>304402.05805624998</v>
      </c>
      <c r="H18" s="40">
        <f>'Ann 4'!H27</f>
        <v>385200.18809781247</v>
      </c>
      <c r="I18" s="40">
        <f>'Ann 4'!I27</f>
        <v>431790.18963314057</v>
      </c>
      <c r="J18" s="40">
        <f>'Ann 4'!J27</f>
        <v>466298.97883816948</v>
      </c>
      <c r="K18" s="40">
        <f>'Ann 4'!K27</f>
        <v>483425.80852244399</v>
      </c>
    </row>
    <row r="19" spans="1:12" x14ac:dyDescent="0.6">
      <c r="A19" s="31"/>
      <c r="B19" s="32" t="s">
        <v>202</v>
      </c>
      <c r="C19" s="39">
        <v>0</v>
      </c>
      <c r="D19" s="39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pans="1:12" x14ac:dyDescent="0.6">
      <c r="A20" s="31"/>
      <c r="B20" s="32" t="s">
        <v>203</v>
      </c>
      <c r="C20" s="39">
        <f>C17+C18</f>
        <v>1612353</v>
      </c>
      <c r="D20" s="39">
        <f t="shared" ref="D20:K20" si="4">D17+D18</f>
        <v>1643116.7750000001</v>
      </c>
      <c r="E20" s="40">
        <f t="shared" si="4"/>
        <v>1771170.8025000002</v>
      </c>
      <c r="F20" s="40">
        <f t="shared" si="4"/>
        <v>1990124.3546250002</v>
      </c>
      <c r="G20" s="40">
        <f t="shared" si="4"/>
        <v>2294526.4126812499</v>
      </c>
      <c r="H20" s="40">
        <f t="shared" si="4"/>
        <v>2679726.6007790621</v>
      </c>
      <c r="I20" s="40">
        <f t="shared" si="4"/>
        <v>3111516.7904122025</v>
      </c>
      <c r="J20" s="40">
        <f t="shared" si="4"/>
        <v>3577815.769250372</v>
      </c>
      <c r="K20" s="40">
        <f t="shared" si="4"/>
        <v>4061241.5777728157</v>
      </c>
    </row>
    <row r="21" spans="1:12" x14ac:dyDescent="0.6">
      <c r="A21" s="31">
        <v>2</v>
      </c>
      <c r="B21" s="32" t="s">
        <v>293</v>
      </c>
      <c r="C21" s="39">
        <f>'Ann 4'!C7*90/300</f>
        <v>108000</v>
      </c>
      <c r="D21" s="39">
        <f>'Ann 4'!D7*90/300</f>
        <v>115200</v>
      </c>
      <c r="E21" s="39">
        <f>'Ann 4'!E7*90/300</f>
        <v>122400</v>
      </c>
      <c r="F21" s="39">
        <f>'Ann 4'!F7*90/300</f>
        <v>129600</v>
      </c>
      <c r="G21" s="39">
        <f>'Ann 4'!G7*90/300</f>
        <v>136800</v>
      </c>
      <c r="H21" s="39">
        <f>'Ann 4'!H7*90/300</f>
        <v>144000</v>
      </c>
      <c r="I21" s="39">
        <f>'Ann 4'!I7*90/300</f>
        <v>144000</v>
      </c>
      <c r="J21" s="39">
        <f>'Ann 4'!J7*90/300</f>
        <v>144000</v>
      </c>
      <c r="K21" s="39">
        <f>'Ann 4'!K7*90/300</f>
        <v>144000</v>
      </c>
    </row>
    <row r="22" spans="1:12" x14ac:dyDescent="0.6">
      <c r="A22" s="31">
        <v>3</v>
      </c>
      <c r="B22" s="32" t="s">
        <v>204</v>
      </c>
      <c r="C22" s="39">
        <f>'Ann 13'!C12*100000</f>
        <v>16560999.999999998</v>
      </c>
      <c r="D22" s="39">
        <f>('Ann 13'!C16-'Ann 13'!D16)*100000</f>
        <v>13800833.33333333</v>
      </c>
      <c r="E22" s="40">
        <f>('Ann 13'!C20-'Ann 13'!D20)*100000</f>
        <v>11040666.66666666</v>
      </c>
      <c r="F22" s="40">
        <f>('Ann 13'!C24-'Ann 13'!D24)*100000</f>
        <v>8280499.9999999925</v>
      </c>
      <c r="G22" s="40">
        <f>('Ann 13'!C28-'Ann 13'!D28)*100000</f>
        <v>5520333.3333333246</v>
      </c>
      <c r="H22" s="40">
        <f>'Ann 13'!C33*100000</f>
        <v>2760166.6666666591</v>
      </c>
      <c r="I22" s="40">
        <v>0</v>
      </c>
      <c r="J22" s="40">
        <v>0</v>
      </c>
      <c r="K22" s="40">
        <v>0</v>
      </c>
    </row>
    <row r="23" spans="1:12" x14ac:dyDescent="0.6">
      <c r="A23" s="31">
        <v>4</v>
      </c>
      <c r="B23" s="32" t="s">
        <v>29</v>
      </c>
      <c r="C23" s="39">
        <f>'Ann 2'!$C$7*100000</f>
        <v>1259000</v>
      </c>
      <c r="D23" s="39">
        <f>'Ann 2'!$C$7*100000</f>
        <v>1259000</v>
      </c>
      <c r="E23" s="39">
        <f>'Ann 2'!$C$7*100000</f>
        <v>1259000</v>
      </c>
      <c r="F23" s="39">
        <f>'Ann 2'!$C$7*100000</f>
        <v>1259000</v>
      </c>
      <c r="G23" s="39">
        <f>'Ann 2'!$C$7*100000</f>
        <v>1259000</v>
      </c>
      <c r="H23" s="39">
        <f>'Ann 2'!$C$7*100000</f>
        <v>1259000</v>
      </c>
      <c r="I23" s="39">
        <f>'Ann 2'!$C$7*100000</f>
        <v>1259000</v>
      </c>
      <c r="J23" s="39">
        <f>'Ann 2'!$C$7*100000</f>
        <v>1259000</v>
      </c>
      <c r="K23" s="39">
        <f>'Ann 2'!$C$7*100000</f>
        <v>1259000</v>
      </c>
    </row>
    <row r="24" spans="1:12" x14ac:dyDescent="0.6">
      <c r="A24" s="31"/>
      <c r="B24" s="32" t="s">
        <v>205</v>
      </c>
      <c r="C24" s="35">
        <f t="shared" ref="C24:K24" si="5">SUM(C20:C23)</f>
        <v>19540353</v>
      </c>
      <c r="D24" s="35">
        <f t="shared" si="5"/>
        <v>16818150.108333331</v>
      </c>
      <c r="E24" s="38">
        <f t="shared" si="5"/>
        <v>14193237.469166661</v>
      </c>
      <c r="F24" s="38">
        <f t="shared" si="5"/>
        <v>11659224.354624992</v>
      </c>
      <c r="G24" s="38">
        <f t="shared" si="5"/>
        <v>9210659.7460145745</v>
      </c>
      <c r="H24" s="38">
        <f t="shared" si="5"/>
        <v>6842893.2674457207</v>
      </c>
      <c r="I24" s="38">
        <f t="shared" si="5"/>
        <v>4514516.7904122025</v>
      </c>
      <c r="J24" s="38">
        <f t="shared" si="5"/>
        <v>4980815.7692503724</v>
      </c>
      <c r="K24" s="38">
        <f t="shared" si="5"/>
        <v>5464241.5777728157</v>
      </c>
    </row>
    <row r="25" spans="1:12" x14ac:dyDescent="0.6">
      <c r="A25" s="31"/>
      <c r="B25" s="32"/>
      <c r="C25" s="35">
        <f>C24-C14</f>
        <v>0</v>
      </c>
      <c r="D25" s="35">
        <f t="shared" ref="D25:K25" si="6">D24-D14</f>
        <v>0</v>
      </c>
      <c r="E25" s="35">
        <f t="shared" si="6"/>
        <v>0</v>
      </c>
      <c r="F25" s="35">
        <f t="shared" si="6"/>
        <v>0</v>
      </c>
      <c r="G25" s="35">
        <f t="shared" si="6"/>
        <v>0</v>
      </c>
      <c r="H25" s="35">
        <f t="shared" si="6"/>
        <v>-2491050.4166666735</v>
      </c>
      <c r="I25" s="35">
        <f t="shared" si="6"/>
        <v>-5251217.0833333321</v>
      </c>
      <c r="J25" s="35">
        <f t="shared" si="6"/>
        <v>-5251217.0833333302</v>
      </c>
      <c r="K25" s="35">
        <f t="shared" si="6"/>
        <v>-5251217.0833333312</v>
      </c>
      <c r="L25" s="5">
        <f>I25-H25</f>
        <v>-2760166.6666666586</v>
      </c>
    </row>
    <row r="26" spans="1:12" x14ac:dyDescent="0.6">
      <c r="A26" s="78"/>
      <c r="B26" s="79" t="s">
        <v>207</v>
      </c>
      <c r="C26" s="80"/>
      <c r="D26" s="80"/>
      <c r="E26" s="81"/>
      <c r="F26" s="81"/>
      <c r="G26" s="81"/>
      <c r="H26" s="81"/>
      <c r="I26" s="81"/>
      <c r="J26" s="81"/>
      <c r="K26" s="81"/>
    </row>
    <row r="27" spans="1:12" x14ac:dyDescent="0.6">
      <c r="A27" s="31"/>
      <c r="B27" s="32" t="s">
        <v>208</v>
      </c>
      <c r="C27" s="35">
        <f t="shared" ref="C27:K27" si="7">SUM(C12:C13)</f>
        <v>4115003</v>
      </c>
      <c r="D27" s="35">
        <f t="shared" si="7"/>
        <v>3571602.6083333329</v>
      </c>
      <c r="E27" s="38">
        <f t="shared" si="7"/>
        <v>2812172.0941666658</v>
      </c>
      <c r="F27" s="38">
        <f t="shared" si="7"/>
        <v>1875968.7858749987</v>
      </c>
      <c r="G27" s="38">
        <f t="shared" si="7"/>
        <v>796477.51257708156</v>
      </c>
      <c r="H27" s="38">
        <f t="shared" si="7"/>
        <v>2093315.2856905197</v>
      </c>
      <c r="I27" s="38">
        <f t="shared" si="7"/>
        <v>3531483.5850869408</v>
      </c>
      <c r="J27" s="38">
        <f t="shared" si="7"/>
        <v>4861175.5722238999</v>
      </c>
      <c r="K27" s="38">
        <f t="shared" si="7"/>
        <v>6085659.891300315</v>
      </c>
    </row>
    <row r="28" spans="1:12" x14ac:dyDescent="0.6">
      <c r="A28" s="31"/>
      <c r="B28" s="32" t="s">
        <v>209</v>
      </c>
      <c r="C28" s="35">
        <f t="shared" ref="C28:K28" si="8">SUM(C23:C23)</f>
        <v>1259000</v>
      </c>
      <c r="D28" s="35">
        <f t="shared" si="8"/>
        <v>1259000</v>
      </c>
      <c r="E28" s="35">
        <f t="shared" si="8"/>
        <v>1259000</v>
      </c>
      <c r="F28" s="35">
        <f t="shared" si="8"/>
        <v>1259000</v>
      </c>
      <c r="G28" s="35">
        <f t="shared" si="8"/>
        <v>1259000</v>
      </c>
      <c r="H28" s="35">
        <f t="shared" si="8"/>
        <v>1259000</v>
      </c>
      <c r="I28" s="35">
        <f t="shared" si="8"/>
        <v>1259000</v>
      </c>
      <c r="J28" s="35">
        <f t="shared" si="8"/>
        <v>1259000</v>
      </c>
      <c r="K28" s="35">
        <f t="shared" si="8"/>
        <v>1259000</v>
      </c>
    </row>
    <row r="29" spans="1:12" x14ac:dyDescent="0.6">
      <c r="A29" s="31"/>
      <c r="B29" s="32" t="s">
        <v>215</v>
      </c>
      <c r="C29" s="33">
        <f>C27/C28</f>
        <v>3.2684694201747417</v>
      </c>
      <c r="D29" s="33">
        <f>D27/D28</f>
        <v>2.8368567182949427</v>
      </c>
      <c r="E29" s="34">
        <f t="shared" ref="E29:K29" si="9">E27/E28</f>
        <v>2.2336553567646273</v>
      </c>
      <c r="F29" s="34">
        <f t="shared" si="9"/>
        <v>1.4900466925138989</v>
      </c>
      <c r="G29" s="34">
        <f t="shared" si="9"/>
        <v>0.63262709497782488</v>
      </c>
      <c r="H29" s="34">
        <f t="shared" si="9"/>
        <v>1.6626809258860362</v>
      </c>
      <c r="I29" s="34">
        <f t="shared" si="9"/>
        <v>2.8049909333494365</v>
      </c>
      <c r="J29" s="34">
        <f t="shared" si="9"/>
        <v>3.8611402479935664</v>
      </c>
      <c r="K29" s="34">
        <f t="shared" si="9"/>
        <v>4.8337250923751514</v>
      </c>
    </row>
    <row r="30" spans="1:12" x14ac:dyDescent="0.6">
      <c r="A30" s="31"/>
      <c r="B30" s="42" t="s">
        <v>230</v>
      </c>
      <c r="C30" s="33"/>
      <c r="D30" s="33"/>
      <c r="E30" s="34"/>
      <c r="F30" s="34">
        <f>AVERAGE(C29:K29)</f>
        <v>2.6249102758144693</v>
      </c>
      <c r="G30" s="34"/>
      <c r="H30" s="34"/>
      <c r="I30" s="38"/>
      <c r="J30" s="38"/>
      <c r="K30" s="38"/>
    </row>
    <row r="31" spans="1:12" x14ac:dyDescent="0.6">
      <c r="A31" s="31"/>
      <c r="B31" s="32"/>
      <c r="C31" s="33"/>
      <c r="D31" s="33"/>
      <c r="E31" s="34"/>
      <c r="F31" s="34"/>
      <c r="G31" s="34"/>
      <c r="H31" s="34"/>
      <c r="I31" s="34"/>
      <c r="J31" s="34"/>
      <c r="K31" s="34"/>
    </row>
    <row r="32" spans="1:12" x14ac:dyDescent="0.6">
      <c r="A32" s="78"/>
      <c r="B32" s="79" t="s">
        <v>212</v>
      </c>
      <c r="C32" s="80"/>
      <c r="D32" s="80"/>
      <c r="E32" s="81"/>
      <c r="F32" s="81"/>
      <c r="G32" s="81"/>
      <c r="H32" s="81"/>
      <c r="I32" s="81"/>
      <c r="J32" s="81"/>
      <c r="K32" s="81"/>
    </row>
    <row r="33" spans="1:11" x14ac:dyDescent="0.6">
      <c r="A33" s="31"/>
      <c r="B33" s="32" t="s">
        <v>213</v>
      </c>
      <c r="C33" s="35">
        <f t="shared" ref="C33:K33" si="10">C22+C23</f>
        <v>17820000</v>
      </c>
      <c r="D33" s="35">
        <f t="shared" si="10"/>
        <v>15059833.33333333</v>
      </c>
      <c r="E33" s="35">
        <f t="shared" si="10"/>
        <v>12299666.66666666</v>
      </c>
      <c r="F33" s="35">
        <f t="shared" si="10"/>
        <v>9539499.9999999925</v>
      </c>
      <c r="G33" s="35">
        <f t="shared" si="10"/>
        <v>6779333.3333333246</v>
      </c>
      <c r="H33" s="35">
        <f t="shared" si="10"/>
        <v>4019166.6666666591</v>
      </c>
      <c r="I33" s="35">
        <f t="shared" si="10"/>
        <v>1259000</v>
      </c>
      <c r="J33" s="35">
        <f t="shared" si="10"/>
        <v>1259000</v>
      </c>
      <c r="K33" s="35">
        <f t="shared" si="10"/>
        <v>1259000</v>
      </c>
    </row>
    <row r="34" spans="1:11" x14ac:dyDescent="0.6">
      <c r="A34" s="31"/>
      <c r="B34" s="32" t="s">
        <v>214</v>
      </c>
      <c r="C34" s="35">
        <f t="shared" ref="C34:K34" si="11">C20</f>
        <v>1612353</v>
      </c>
      <c r="D34" s="35">
        <f t="shared" si="11"/>
        <v>1643116.7750000001</v>
      </c>
      <c r="E34" s="38">
        <f t="shared" si="11"/>
        <v>1771170.8025000002</v>
      </c>
      <c r="F34" s="38">
        <f t="shared" si="11"/>
        <v>1990124.3546250002</v>
      </c>
      <c r="G34" s="38">
        <f t="shared" si="11"/>
        <v>2294526.4126812499</v>
      </c>
      <c r="H34" s="38">
        <f t="shared" si="11"/>
        <v>2679726.6007790621</v>
      </c>
      <c r="I34" s="40">
        <f t="shared" si="11"/>
        <v>3111516.7904122025</v>
      </c>
      <c r="J34" s="40">
        <f t="shared" si="11"/>
        <v>3577815.769250372</v>
      </c>
      <c r="K34" s="40">
        <f t="shared" si="11"/>
        <v>4061241.5777728157</v>
      </c>
    </row>
    <row r="35" spans="1:11" x14ac:dyDescent="0.6">
      <c r="A35" s="31"/>
      <c r="B35" s="32" t="s">
        <v>215</v>
      </c>
      <c r="C35" s="33">
        <f>C33/C34</f>
        <v>11.052170337388898</v>
      </c>
      <c r="D35" s="33">
        <f t="shared" ref="D35:K35" si="12">D33/D34</f>
        <v>9.1654065994994962</v>
      </c>
      <c r="E35" s="34">
        <f t="shared" si="12"/>
        <v>6.9443707231994409</v>
      </c>
      <c r="F35" s="34">
        <f t="shared" si="12"/>
        <v>4.7934190533523342</v>
      </c>
      <c r="G35" s="34">
        <f t="shared" si="12"/>
        <v>2.9545675725786875</v>
      </c>
      <c r="H35" s="34">
        <f t="shared" si="12"/>
        <v>1.4998420605662492</v>
      </c>
      <c r="I35" s="43">
        <f t="shared" si="12"/>
        <v>0.40462580946998916</v>
      </c>
      <c r="J35" s="43">
        <f t="shared" si="12"/>
        <v>0.35189067330422863</v>
      </c>
      <c r="K35" s="43">
        <f t="shared" si="12"/>
        <v>0.31000372075635929</v>
      </c>
    </row>
    <row r="36" spans="1:11" x14ac:dyDescent="0.6">
      <c r="A36" s="31"/>
      <c r="B36" s="42" t="s">
        <v>230</v>
      </c>
      <c r="C36" s="33"/>
      <c r="D36" s="33"/>
      <c r="E36" s="34"/>
      <c r="F36" s="34">
        <f>AVERAGE(C35:K35)</f>
        <v>4.164032950012853</v>
      </c>
      <c r="G36" s="34"/>
      <c r="H36" s="34"/>
      <c r="I36" s="38"/>
      <c r="J36" s="38"/>
      <c r="K36" s="38"/>
    </row>
    <row r="37" spans="1:11" x14ac:dyDescent="0.6">
      <c r="A37" s="31"/>
      <c r="B37" s="32"/>
      <c r="C37" s="33"/>
      <c r="D37" s="33"/>
      <c r="E37" s="34"/>
      <c r="F37" s="34"/>
      <c r="G37" s="34"/>
      <c r="H37" s="34"/>
      <c r="I37" s="38"/>
      <c r="J37" s="38"/>
      <c r="K37" s="38"/>
    </row>
    <row r="38" spans="1:11" x14ac:dyDescent="0.6">
      <c r="A38" s="78"/>
      <c r="B38" s="79" t="s">
        <v>231</v>
      </c>
      <c r="C38" s="80"/>
      <c r="D38" s="80"/>
      <c r="E38" s="81"/>
      <c r="F38" s="81"/>
      <c r="G38" s="81"/>
      <c r="H38" s="81"/>
      <c r="I38" s="82"/>
      <c r="J38" s="82"/>
      <c r="K38" s="82"/>
    </row>
    <row r="39" spans="1:11" x14ac:dyDescent="0.6">
      <c r="A39" s="31"/>
      <c r="B39" s="42" t="s">
        <v>232</v>
      </c>
      <c r="C39" s="35">
        <f t="shared" ref="C39:K39" si="13">C11</f>
        <v>15425350</v>
      </c>
      <c r="D39" s="35">
        <f t="shared" si="13"/>
        <v>13246547.5</v>
      </c>
      <c r="E39" s="35">
        <f t="shared" si="13"/>
        <v>11381065.375</v>
      </c>
      <c r="F39" s="35">
        <f t="shared" si="13"/>
        <v>9783255.5687499996</v>
      </c>
      <c r="G39" s="35">
        <f t="shared" si="13"/>
        <v>8414182.233437499</v>
      </c>
      <c r="H39" s="35">
        <f t="shared" si="13"/>
        <v>7240628.3984218743</v>
      </c>
      <c r="I39" s="35">
        <f t="shared" si="13"/>
        <v>6234250.2886585928</v>
      </c>
      <c r="J39" s="35">
        <f t="shared" si="13"/>
        <v>5370857.2803598037</v>
      </c>
      <c r="K39" s="35">
        <f t="shared" si="13"/>
        <v>4629798.7698058328</v>
      </c>
    </row>
    <row r="40" spans="1:11" x14ac:dyDescent="0.6">
      <c r="A40" s="31"/>
      <c r="B40" s="42" t="s">
        <v>213</v>
      </c>
      <c r="C40" s="35">
        <f t="shared" ref="C40:K40" si="14">C22+C23</f>
        <v>17820000</v>
      </c>
      <c r="D40" s="35">
        <f t="shared" si="14"/>
        <v>15059833.33333333</v>
      </c>
      <c r="E40" s="35">
        <f t="shared" si="14"/>
        <v>12299666.66666666</v>
      </c>
      <c r="F40" s="35">
        <f t="shared" si="14"/>
        <v>9539499.9999999925</v>
      </c>
      <c r="G40" s="35">
        <f t="shared" si="14"/>
        <v>6779333.3333333246</v>
      </c>
      <c r="H40" s="35">
        <f t="shared" si="14"/>
        <v>4019166.6666666591</v>
      </c>
      <c r="I40" s="35">
        <f t="shared" si="14"/>
        <v>1259000</v>
      </c>
      <c r="J40" s="35">
        <f t="shared" si="14"/>
        <v>1259000</v>
      </c>
      <c r="K40" s="35">
        <f t="shared" si="14"/>
        <v>1259000</v>
      </c>
    </row>
    <row r="41" spans="1:11" x14ac:dyDescent="0.6">
      <c r="A41" s="31"/>
      <c r="B41" s="42" t="s">
        <v>224</v>
      </c>
      <c r="C41" s="33">
        <f>C39/C40</f>
        <v>0.86562008978675642</v>
      </c>
      <c r="D41" s="33">
        <f t="shared" ref="D41:K41" si="15">D39/D40</f>
        <v>0.87959456169280337</v>
      </c>
      <c r="E41" s="33">
        <f t="shared" si="15"/>
        <v>0.92531494417192928</v>
      </c>
      <c r="F41" s="33">
        <f t="shared" si="15"/>
        <v>1.0255522374076218</v>
      </c>
      <c r="G41" s="33">
        <f t="shared" si="15"/>
        <v>1.2411518684390073</v>
      </c>
      <c r="H41" s="33">
        <f t="shared" si="15"/>
        <v>1.8015247933042227</v>
      </c>
      <c r="I41" s="33">
        <f t="shared" si="15"/>
        <v>4.9517476478622662</v>
      </c>
      <c r="J41" s="33">
        <f t="shared" si="15"/>
        <v>4.2659708342810196</v>
      </c>
      <c r="K41" s="33">
        <f t="shared" si="15"/>
        <v>3.6773620093771506</v>
      </c>
    </row>
    <row r="42" spans="1:11" x14ac:dyDescent="0.6">
      <c r="A42" s="31"/>
      <c r="B42" s="42" t="s">
        <v>230</v>
      </c>
      <c r="C42" s="33"/>
      <c r="D42" s="33"/>
      <c r="E42" s="34"/>
      <c r="F42" s="34">
        <f>AVERAGE(C41:K41)</f>
        <v>2.1815376651469753</v>
      </c>
      <c r="G42" s="34"/>
      <c r="H42" s="34"/>
      <c r="I42" s="34"/>
      <c r="J42" s="34"/>
      <c r="K42" s="34"/>
    </row>
    <row r="43" spans="1:11" x14ac:dyDescent="0.6">
      <c r="A43" s="31"/>
      <c r="B43" s="32"/>
      <c r="C43" s="33"/>
      <c r="D43" s="33"/>
      <c r="E43" s="34"/>
      <c r="F43" s="34"/>
      <c r="G43" s="34"/>
      <c r="H43" s="34"/>
      <c r="I43" s="38"/>
      <c r="J43" s="38"/>
      <c r="K43" s="38"/>
    </row>
    <row r="44" spans="1:11" x14ac:dyDescent="0.6">
      <c r="A44" s="78"/>
      <c r="B44" s="79" t="s">
        <v>221</v>
      </c>
      <c r="C44" s="80"/>
      <c r="D44" s="80"/>
      <c r="E44" s="81"/>
      <c r="F44" s="81"/>
      <c r="G44" s="81"/>
      <c r="H44" s="81"/>
      <c r="I44" s="82"/>
      <c r="J44" s="82"/>
      <c r="K44" s="82"/>
    </row>
    <row r="45" spans="1:11" x14ac:dyDescent="0.6">
      <c r="A45" s="31"/>
      <c r="B45" s="32" t="s">
        <v>222</v>
      </c>
      <c r="C45" s="39">
        <f>'Ann 4'!C18</f>
        <v>1119560</v>
      </c>
      <c r="D45" s="39">
        <f>'Ann 4'!D18</f>
        <v>1057456.2499999995</v>
      </c>
      <c r="E45" s="40">
        <f>'Ann 4'!E18</f>
        <v>891846.24999999988</v>
      </c>
      <c r="F45" s="40">
        <f>'Ann 4'!F18</f>
        <v>726236.24999999965</v>
      </c>
      <c r="G45" s="40">
        <f>'Ann 4'!G18</f>
        <v>560626.24999999953</v>
      </c>
      <c r="H45" s="40">
        <f>'Ann 4'!H18</f>
        <v>395016.24999999948</v>
      </c>
      <c r="I45" s="40">
        <f>'Ann 4'!I18</f>
        <v>229406.24999999953</v>
      </c>
      <c r="J45" s="40">
        <f>'Ann 4'!J18</f>
        <v>125900</v>
      </c>
      <c r="K45" s="40">
        <f>'Ann 4'!K18</f>
        <v>125900</v>
      </c>
    </row>
    <row r="46" spans="1:11" x14ac:dyDescent="0.6">
      <c r="A46" s="31"/>
      <c r="B46" s="32" t="s">
        <v>225</v>
      </c>
      <c r="C46" s="39">
        <f>SUM('Ann 13'!D9:D12)</f>
        <v>0</v>
      </c>
      <c r="D46" s="39">
        <f>SUM('Ann 13'!D13:D16)*100000</f>
        <v>2760166.6666666665</v>
      </c>
      <c r="E46" s="40">
        <f>SUM('Ann 13'!D17:D20)*100000</f>
        <v>2760166.6666666665</v>
      </c>
      <c r="F46" s="40">
        <f>SUM('Ann 13'!D21:D24)*100000</f>
        <v>2760166.6666666665</v>
      </c>
      <c r="G46" s="40">
        <f>SUM('Ann 13'!D25:D28)*100000</f>
        <v>2760166.6666666665</v>
      </c>
      <c r="H46" s="40">
        <f>SUM('Ann 13'!D29:D32)*100000</f>
        <v>2760166.6666666665</v>
      </c>
      <c r="I46" s="40">
        <f>SUM('Ann 13'!D33:D36)*100000</f>
        <v>2760166.6666666591</v>
      </c>
      <c r="J46" s="40">
        <v>0</v>
      </c>
      <c r="K46" s="40">
        <v>0</v>
      </c>
    </row>
    <row r="47" spans="1:11" x14ac:dyDescent="0.6">
      <c r="A47" s="31"/>
      <c r="B47" s="32" t="s">
        <v>8</v>
      </c>
      <c r="C47" s="39">
        <f>SUM(C45:C46)</f>
        <v>1119560</v>
      </c>
      <c r="D47" s="39">
        <f t="shared" ref="D47:K47" si="16">SUM(D45:D46)</f>
        <v>3817622.916666666</v>
      </c>
      <c r="E47" s="40">
        <f t="shared" si="16"/>
        <v>3652012.9166666665</v>
      </c>
      <c r="F47" s="40">
        <f t="shared" si="16"/>
        <v>3486402.916666666</v>
      </c>
      <c r="G47" s="40">
        <f t="shared" si="16"/>
        <v>3320792.916666666</v>
      </c>
      <c r="H47" s="40">
        <f t="shared" si="16"/>
        <v>3155182.916666666</v>
      </c>
      <c r="I47" s="40">
        <f t="shared" si="16"/>
        <v>2989572.9166666586</v>
      </c>
      <c r="J47" s="40">
        <f t="shared" si="16"/>
        <v>125900</v>
      </c>
      <c r="K47" s="40">
        <f t="shared" si="16"/>
        <v>125900</v>
      </c>
    </row>
    <row r="48" spans="1:11" x14ac:dyDescent="0.6">
      <c r="A48" s="31"/>
      <c r="B48" s="32" t="s">
        <v>223</v>
      </c>
      <c r="C48" s="39">
        <f>'Ann 4'!C13</f>
        <v>3240000</v>
      </c>
      <c r="D48" s="39">
        <f>'Ann 4'!D13</f>
        <v>3456000</v>
      </c>
      <c r="E48" s="40">
        <f>'Ann 4'!E13</f>
        <v>3672000</v>
      </c>
      <c r="F48" s="40">
        <f>'Ann 4'!F13</f>
        <v>3888000</v>
      </c>
      <c r="G48" s="40">
        <f>'Ann 4'!G13</f>
        <v>4104000</v>
      </c>
      <c r="H48" s="40">
        <f>'Ann 4'!H13</f>
        <v>4320000</v>
      </c>
      <c r="I48" s="40">
        <f>'Ann 4'!I13</f>
        <v>4320000</v>
      </c>
      <c r="J48" s="40">
        <f>'Ann 4'!J13</f>
        <v>4320000</v>
      </c>
      <c r="K48" s="40">
        <f>'Ann 4'!K13</f>
        <v>4320000</v>
      </c>
    </row>
    <row r="49" spans="1:11" x14ac:dyDescent="0.6">
      <c r="A49" s="31"/>
      <c r="B49" s="32" t="s">
        <v>224</v>
      </c>
      <c r="C49" s="33">
        <f>C48/C47</f>
        <v>2.8939940690985746</v>
      </c>
      <c r="D49" s="33">
        <f t="shared" ref="D49:K49" si="17">D48/D47</f>
        <v>0.90527537041756478</v>
      </c>
      <c r="E49" s="34">
        <f t="shared" si="17"/>
        <v>1.0054728950278677</v>
      </c>
      <c r="F49" s="34">
        <f t="shared" si="17"/>
        <v>1.1151895213870746</v>
      </c>
      <c r="G49" s="34">
        <f t="shared" si="17"/>
        <v>1.2358494199992147</v>
      </c>
      <c r="H49" s="34">
        <f t="shared" si="17"/>
        <v>1.3691757701844811</v>
      </c>
      <c r="I49" s="34">
        <f t="shared" si="17"/>
        <v>1.4450224565242427</v>
      </c>
      <c r="J49" s="34">
        <f t="shared" si="17"/>
        <v>34.312946783161237</v>
      </c>
      <c r="K49" s="34">
        <f t="shared" si="17"/>
        <v>34.312946783161237</v>
      </c>
    </row>
    <row r="50" spans="1:11" ht="17.5" thickBot="1" x14ac:dyDescent="0.65">
      <c r="A50" s="83"/>
      <c r="B50" s="84" t="s">
        <v>230</v>
      </c>
      <c r="C50" s="85"/>
      <c r="D50" s="85"/>
      <c r="E50" s="86"/>
      <c r="F50" s="86">
        <f>AVERAGE(D49:I49)</f>
        <v>1.1793309055900743</v>
      </c>
      <c r="G50" s="86"/>
      <c r="H50" s="86"/>
      <c r="I50" s="86"/>
      <c r="J50" s="86"/>
      <c r="K50" s="86"/>
    </row>
    <row r="51" spans="1:11" ht="17.5" thickTop="1" x14ac:dyDescent="0.6"/>
    <row r="52" spans="1:11" x14ac:dyDescent="0.6">
      <c r="A52" s="1" t="s">
        <v>210</v>
      </c>
    </row>
    <row r="53" spans="1:11" x14ac:dyDescent="0.6">
      <c r="A53" s="1" t="s">
        <v>211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4E2-CB20-41F0-BD9E-E7A405754354}">
  <sheetPr>
    <pageSetUpPr fitToPage="1"/>
  </sheetPr>
  <dimension ref="A1:D30"/>
  <sheetViews>
    <sheetView workbookViewId="0">
      <selection activeCell="A5" sqref="A5"/>
    </sheetView>
  </sheetViews>
  <sheetFormatPr defaultRowHeight="17" x14ac:dyDescent="0.6"/>
  <cols>
    <col min="1" max="1" width="53.453125" style="1" bestFit="1" customWidth="1"/>
    <col min="2" max="2" width="8.7265625" style="1"/>
    <col min="3" max="3" width="11.1796875" style="1" bestFit="1" customWidth="1"/>
    <col min="4" max="4" width="12.54296875" style="1" bestFit="1" customWidth="1"/>
    <col min="5" max="16384" width="8.7265625" style="1"/>
  </cols>
  <sheetData>
    <row r="1" spans="1:3" x14ac:dyDescent="0.6">
      <c r="A1" s="9" t="s">
        <v>268</v>
      </c>
    </row>
    <row r="3" spans="1:3" x14ac:dyDescent="0.6">
      <c r="A3" s="2" t="s">
        <v>269</v>
      </c>
    </row>
    <row r="5" spans="1:3" x14ac:dyDescent="0.6">
      <c r="A5" s="9" t="s">
        <v>64</v>
      </c>
    </row>
    <row r="7" spans="1:3" x14ac:dyDescent="0.6">
      <c r="A7" s="1" t="s">
        <v>65</v>
      </c>
      <c r="B7" s="1" t="s">
        <v>68</v>
      </c>
    </row>
    <row r="8" spans="1:3" x14ac:dyDescent="0.6">
      <c r="A8" s="1" t="s">
        <v>66</v>
      </c>
      <c r="B8" s="1">
        <v>75</v>
      </c>
      <c r="C8" s="1" t="s">
        <v>70</v>
      </c>
    </row>
    <row r="9" spans="1:3" x14ac:dyDescent="0.6">
      <c r="A9" s="1" t="s">
        <v>67</v>
      </c>
      <c r="B9" s="1">
        <v>300</v>
      </c>
    </row>
    <row r="10" spans="1:3" x14ac:dyDescent="0.6">
      <c r="A10" s="1" t="s">
        <v>69</v>
      </c>
      <c r="B10" s="1">
        <f>10*B9</f>
        <v>3000</v>
      </c>
    </row>
    <row r="12" spans="1:3" x14ac:dyDescent="0.6">
      <c r="A12" s="1" t="s">
        <v>127</v>
      </c>
      <c r="B12" s="1">
        <f>1/20*(6000000*75%)</f>
        <v>225000</v>
      </c>
      <c r="C12" s="1" t="s">
        <v>71</v>
      </c>
    </row>
    <row r="13" spans="1:3" x14ac:dyDescent="0.6">
      <c r="A13" s="1" t="s">
        <v>72</v>
      </c>
      <c r="B13" s="1">
        <f>6000*12</f>
        <v>72000</v>
      </c>
      <c r="C13" s="1" t="s">
        <v>71</v>
      </c>
    </row>
    <row r="14" spans="1:3" x14ac:dyDescent="0.6">
      <c r="A14" s="1" t="s">
        <v>73</v>
      </c>
      <c r="B14" s="1">
        <v>30000</v>
      </c>
      <c r="C14" s="1" t="s">
        <v>71</v>
      </c>
    </row>
    <row r="15" spans="1:3" x14ac:dyDescent="0.6">
      <c r="A15" s="1" t="s">
        <v>74</v>
      </c>
      <c r="B15" s="1">
        <f>B12-B13-B14</f>
        <v>123000</v>
      </c>
      <c r="C15" s="1" t="s">
        <v>71</v>
      </c>
    </row>
    <row r="17" spans="1:4" x14ac:dyDescent="0.6">
      <c r="A17" s="28" t="s">
        <v>75</v>
      </c>
      <c r="B17" s="10" t="s">
        <v>71</v>
      </c>
      <c r="C17" s="10" t="s">
        <v>78</v>
      </c>
      <c r="D17" s="10" t="s">
        <v>82</v>
      </c>
    </row>
    <row r="18" spans="1:4" x14ac:dyDescent="0.6">
      <c r="A18" s="11" t="s">
        <v>76</v>
      </c>
      <c r="B18" s="11">
        <f>B15</f>
        <v>123000</v>
      </c>
      <c r="C18" s="11">
        <v>10</v>
      </c>
      <c r="D18" s="12">
        <f>B18*C18</f>
        <v>1230000</v>
      </c>
    </row>
    <row r="19" spans="1:4" x14ac:dyDescent="0.6">
      <c r="A19" s="11" t="s">
        <v>77</v>
      </c>
      <c r="B19" s="11">
        <f>B14</f>
        <v>30000</v>
      </c>
      <c r="C19" s="11">
        <v>17</v>
      </c>
      <c r="D19" s="12">
        <f>B19*C19</f>
        <v>510000</v>
      </c>
    </row>
    <row r="20" spans="1:4" x14ac:dyDescent="0.6">
      <c r="A20" s="11"/>
      <c r="B20" s="11"/>
      <c r="C20" s="11"/>
      <c r="D20" s="12">
        <f>SUM(D18:D19)</f>
        <v>1740000</v>
      </c>
    </row>
    <row r="24" spans="1:4" x14ac:dyDescent="0.6">
      <c r="A24" s="1" t="s">
        <v>79</v>
      </c>
    </row>
    <row r="25" spans="1:4" x14ac:dyDescent="0.6">
      <c r="A25" s="1" t="s">
        <v>81</v>
      </c>
    </row>
    <row r="26" spans="1:4" x14ac:dyDescent="0.6">
      <c r="A26" s="1" t="s">
        <v>80</v>
      </c>
    </row>
    <row r="27" spans="1:4" x14ac:dyDescent="0.6">
      <c r="A27" s="1" t="s">
        <v>83</v>
      </c>
    </row>
    <row r="28" spans="1:4" x14ac:dyDescent="0.6">
      <c r="A28" s="1" t="s">
        <v>84</v>
      </c>
    </row>
    <row r="29" spans="1:4" x14ac:dyDescent="0.6">
      <c r="A29" s="1" t="s">
        <v>123</v>
      </c>
    </row>
    <row r="30" spans="1:4" x14ac:dyDescent="0.6">
      <c r="A30" s="1" t="s">
        <v>124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8411-6E7E-4040-8DF0-1401D63BE310}">
  <sheetPr>
    <pageSetUpPr fitToPage="1"/>
  </sheetPr>
  <dimension ref="A1:E15"/>
  <sheetViews>
    <sheetView workbookViewId="0"/>
  </sheetViews>
  <sheetFormatPr defaultRowHeight="17" x14ac:dyDescent="0.6"/>
  <cols>
    <col min="1" max="1" width="5.6328125" style="1" bestFit="1" customWidth="1"/>
    <col min="2" max="2" width="15.90625" style="1" bestFit="1" customWidth="1"/>
    <col min="3" max="3" width="8.7265625" style="1"/>
    <col min="4" max="4" width="25" style="1" bestFit="1" customWidth="1"/>
    <col min="5" max="5" width="12.54296875" style="1" bestFit="1" customWidth="1"/>
    <col min="6" max="16384" width="8.7265625" style="1"/>
  </cols>
  <sheetData>
    <row r="1" spans="1:5" x14ac:dyDescent="0.6">
      <c r="A1" s="9" t="s">
        <v>85</v>
      </c>
    </row>
    <row r="3" spans="1:5" x14ac:dyDescent="0.6">
      <c r="A3" s="2" t="s">
        <v>86</v>
      </c>
    </row>
    <row r="5" spans="1:5" x14ac:dyDescent="0.6">
      <c r="A5" s="10" t="s">
        <v>87</v>
      </c>
      <c r="B5" s="10" t="s">
        <v>88</v>
      </c>
      <c r="C5" s="10" t="s">
        <v>89</v>
      </c>
      <c r="D5" s="10" t="s">
        <v>90</v>
      </c>
      <c r="E5" s="10" t="s">
        <v>266</v>
      </c>
    </row>
    <row r="6" spans="1:5" x14ac:dyDescent="0.6">
      <c r="A6" s="11" t="s">
        <v>91</v>
      </c>
      <c r="B6" s="11" t="s">
        <v>93</v>
      </c>
      <c r="C6" s="11">
        <v>5</v>
      </c>
      <c r="D6" s="12">
        <v>20000</v>
      </c>
      <c r="E6" s="12">
        <f>D6*C6*12</f>
        <v>1200000</v>
      </c>
    </row>
    <row r="7" spans="1:5" x14ac:dyDescent="0.6">
      <c r="A7" s="11" t="s">
        <v>92</v>
      </c>
      <c r="B7" s="11" t="s">
        <v>94</v>
      </c>
      <c r="C7" s="11">
        <v>10</v>
      </c>
      <c r="D7" s="12">
        <v>12000</v>
      </c>
      <c r="E7" s="12">
        <f>D7*C7*12</f>
        <v>1440000</v>
      </c>
    </row>
    <row r="8" spans="1:5" x14ac:dyDescent="0.6">
      <c r="A8" s="107" t="s">
        <v>8</v>
      </c>
      <c r="B8" s="107"/>
      <c r="C8" s="107"/>
      <c r="D8" s="107"/>
      <c r="E8" s="14">
        <f>SUM(E6:E7)</f>
        <v>2640000</v>
      </c>
    </row>
    <row r="9" spans="1:5" x14ac:dyDescent="0.6">
      <c r="A9" s="18"/>
      <c r="B9" s="19"/>
      <c r="C9" s="19"/>
      <c r="D9" s="20"/>
      <c r="E9" s="20"/>
    </row>
    <row r="10" spans="1:5" x14ac:dyDescent="0.6">
      <c r="A10" s="21" t="s">
        <v>95</v>
      </c>
      <c r="B10" s="22"/>
      <c r="C10" s="22"/>
      <c r="D10" s="27"/>
      <c r="E10" s="23">
        <f>E8*30%</f>
        <v>792000</v>
      </c>
    </row>
    <row r="11" spans="1:5" x14ac:dyDescent="0.6">
      <c r="A11" s="21" t="s">
        <v>8</v>
      </c>
      <c r="B11" s="22"/>
      <c r="C11" s="22"/>
      <c r="D11" s="27"/>
      <c r="E11" s="23">
        <f>SUM(E8:E10)</f>
        <v>3432000</v>
      </c>
    </row>
    <row r="12" spans="1:5" x14ac:dyDescent="0.6">
      <c r="A12" s="18"/>
      <c r="B12" s="19"/>
      <c r="C12" s="19"/>
      <c r="D12" s="20"/>
      <c r="E12" s="20"/>
    </row>
    <row r="13" spans="1:5" x14ac:dyDescent="0.6">
      <c r="A13" s="21" t="s">
        <v>96</v>
      </c>
      <c r="B13" s="22"/>
      <c r="C13" s="22"/>
      <c r="D13" s="27"/>
      <c r="E13" s="23">
        <f>E11</f>
        <v>3432000</v>
      </c>
    </row>
    <row r="14" spans="1:5" x14ac:dyDescent="0.6">
      <c r="A14" s="1" t="s">
        <v>97</v>
      </c>
      <c r="E14" s="15">
        <v>0.05</v>
      </c>
    </row>
    <row r="15" spans="1:5" x14ac:dyDescent="0.6">
      <c r="A15" s="1" t="s">
        <v>103</v>
      </c>
      <c r="E15" s="1">
        <f>SUM(C6:C7)</f>
        <v>15</v>
      </c>
    </row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A3" sqref="A3"/>
    </sheetView>
  </sheetViews>
  <sheetFormatPr defaultRowHeight="17" x14ac:dyDescent="0.6"/>
  <cols>
    <col min="1" max="1" width="5.6328125" style="1" bestFit="1" customWidth="1"/>
    <col min="2" max="2" width="26.08984375" style="1" bestFit="1" customWidth="1"/>
    <col min="3" max="3" width="8.7265625" style="1"/>
    <col min="4" max="4" width="25" style="1" bestFit="1" customWidth="1"/>
    <col min="5" max="5" width="12.54296875" style="1" bestFit="1" customWidth="1"/>
    <col min="6" max="16384" width="8.7265625" style="1"/>
  </cols>
  <sheetData>
    <row r="1" spans="1:5" x14ac:dyDescent="0.6">
      <c r="A1" s="9" t="s">
        <v>98</v>
      </c>
    </row>
    <row r="3" spans="1:5" x14ac:dyDescent="0.6">
      <c r="A3" s="2" t="s">
        <v>267</v>
      </c>
    </row>
    <row r="5" spans="1:5" x14ac:dyDescent="0.6">
      <c r="A5" s="10" t="s">
        <v>87</v>
      </c>
      <c r="B5" s="10" t="s">
        <v>88</v>
      </c>
      <c r="C5" s="10" t="s">
        <v>89</v>
      </c>
      <c r="D5" s="10" t="s">
        <v>90</v>
      </c>
      <c r="E5" s="10" t="s">
        <v>266</v>
      </c>
    </row>
    <row r="6" spans="1:5" x14ac:dyDescent="0.6">
      <c r="A6" s="11" t="s">
        <v>91</v>
      </c>
      <c r="B6" s="11" t="s">
        <v>99</v>
      </c>
      <c r="C6" s="11">
        <v>2</v>
      </c>
      <c r="D6" s="12">
        <v>32000</v>
      </c>
      <c r="E6" s="12">
        <f>D6*C6*12</f>
        <v>768000</v>
      </c>
    </row>
    <row r="7" spans="1:5" x14ac:dyDescent="0.6">
      <c r="A7" s="11" t="s">
        <v>92</v>
      </c>
      <c r="B7" s="11" t="s">
        <v>100</v>
      </c>
      <c r="C7" s="11">
        <v>1</v>
      </c>
      <c r="D7" s="12">
        <v>30000</v>
      </c>
      <c r="E7" s="12">
        <f>D7*C7*12</f>
        <v>360000</v>
      </c>
    </row>
    <row r="8" spans="1:5" x14ac:dyDescent="0.6">
      <c r="A8" s="11" t="s">
        <v>101</v>
      </c>
      <c r="B8" s="11" t="s">
        <v>102</v>
      </c>
      <c r="C8" s="11">
        <v>2</v>
      </c>
      <c r="D8" s="12">
        <v>16000</v>
      </c>
      <c r="E8" s="12">
        <f>D8*C8*12</f>
        <v>384000</v>
      </c>
    </row>
    <row r="9" spans="1:5" x14ac:dyDescent="0.6">
      <c r="A9" s="107" t="s">
        <v>8</v>
      </c>
      <c r="B9" s="107"/>
      <c r="C9" s="107"/>
      <c r="D9" s="107"/>
      <c r="E9" s="14">
        <f>SUM(E6:E8)</f>
        <v>1512000</v>
      </c>
    </row>
    <row r="10" spans="1:5" x14ac:dyDescent="0.6">
      <c r="A10" s="18"/>
      <c r="B10" s="19"/>
      <c r="C10" s="19"/>
      <c r="D10" s="19"/>
      <c r="E10" s="20"/>
    </row>
    <row r="11" spans="1:5" x14ac:dyDescent="0.6">
      <c r="A11" s="21" t="s">
        <v>95</v>
      </c>
      <c r="B11" s="22"/>
      <c r="C11" s="22"/>
      <c r="D11" s="22"/>
      <c r="E11" s="23">
        <f>E9*30%</f>
        <v>453600</v>
      </c>
    </row>
    <row r="12" spans="1:5" x14ac:dyDescent="0.6">
      <c r="A12" s="24" t="s">
        <v>8</v>
      </c>
      <c r="B12" s="25"/>
      <c r="C12" s="25"/>
      <c r="D12" s="25"/>
      <c r="E12" s="26">
        <f>SUM(E9:E11)</f>
        <v>1965600</v>
      </c>
    </row>
    <row r="14" spans="1:5" x14ac:dyDescent="0.6">
      <c r="A14" s="1" t="s">
        <v>96</v>
      </c>
      <c r="E14" s="5">
        <f>E12</f>
        <v>1965600</v>
      </c>
    </row>
    <row r="15" spans="1:5" x14ac:dyDescent="0.6">
      <c r="A15" s="1" t="s">
        <v>97</v>
      </c>
      <c r="E15" s="15">
        <v>7.0000000000000007E-2</v>
      </c>
    </row>
    <row r="16" spans="1:5" x14ac:dyDescent="0.6">
      <c r="A16" s="1" t="s">
        <v>104</v>
      </c>
      <c r="E16" s="1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Ann 1</vt:lpstr>
      <vt:lpstr>Ann 2</vt:lpstr>
      <vt:lpstr>Ann 3</vt:lpstr>
      <vt:lpstr>Ann 4</vt:lpstr>
      <vt:lpstr>Ann 5</vt:lpstr>
      <vt:lpstr>Ann 6</vt:lpstr>
      <vt:lpstr>Ann 7</vt:lpstr>
      <vt:lpstr>Ann 8</vt:lpstr>
      <vt:lpstr>Ann 9</vt:lpstr>
      <vt:lpstr>Ann 10</vt:lpstr>
      <vt:lpstr>Ann 11</vt:lpstr>
      <vt:lpstr>Ann 12</vt:lpstr>
      <vt:lpstr>Ann 13</vt:lpstr>
      <vt:lpstr>Ann 14</vt:lpstr>
      <vt:lpstr>Budgets</vt:lpstr>
      <vt:lpstr>Assumptions</vt:lpstr>
      <vt:lpstr>For word 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2021-09-23T07:08:27Z</cp:lastPrinted>
  <dcterms:created xsi:type="dcterms:W3CDTF">2021-07-04T07:21:16Z</dcterms:created>
  <dcterms:modified xsi:type="dcterms:W3CDTF">2021-10-22T06:23:11Z</dcterms:modified>
</cp:coreProperties>
</file>