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8. CHC\"/>
    </mc:Choice>
  </mc:AlternateContent>
  <xr:revisionPtr revIDLastSave="0" documentId="13_ncr:1_{CD793E84-C26E-4A48-AAB9-0EF7B9266459}"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4" l="1"/>
  <c r="I31" i="4"/>
  <c r="J31" i="4"/>
  <c r="K31" i="4"/>
  <c r="G31" i="4"/>
  <c r="G30" i="4"/>
  <c r="D5" i="14"/>
  <c r="C6" i="2" l="1"/>
  <c r="C4" i="2"/>
  <c r="E12" i="9"/>
  <c r="B13" i="23"/>
  <c r="B9" i="23"/>
  <c r="A9" i="21"/>
  <c r="B15" i="23" l="1"/>
  <c r="B17" i="23" s="1"/>
  <c r="G8" i="4" s="1"/>
  <c r="G17" i="3"/>
  <c r="G8" i="3"/>
  <c r="B17" i="19"/>
  <c r="C11" i="1"/>
  <c r="D5" i="22"/>
  <c r="E4" i="22"/>
  <c r="E5" i="22" s="1"/>
  <c r="A6" i="21"/>
  <c r="E8" i="4" l="1"/>
  <c r="K8" i="4"/>
  <c r="F8" i="4"/>
  <c r="H8" i="4"/>
  <c r="C8" i="4"/>
  <c r="J8" i="4"/>
  <c r="D8" i="4"/>
  <c r="I8" i="4"/>
  <c r="F4" i="22"/>
  <c r="G5" i="3"/>
  <c r="I33" i="7"/>
  <c r="A14" i="21"/>
  <c r="A12" i="21"/>
  <c r="A11" i="21"/>
  <c r="A10" i="21"/>
  <c r="C4" i="18"/>
  <c r="K46" i="7"/>
  <c r="J46" i="7"/>
  <c r="D22" i="7"/>
  <c r="E22" i="7"/>
  <c r="F22" i="7"/>
  <c r="G22" i="7"/>
  <c r="H22" i="7"/>
  <c r="I22" i="7"/>
  <c r="J22" i="7"/>
  <c r="J33" i="7" s="1"/>
  <c r="K22" i="7"/>
  <c r="K33" i="7" s="1"/>
  <c r="C22" i="7"/>
  <c r="E8" i="9"/>
  <c r="A16" i="21"/>
  <c r="F5" i="22" l="1"/>
  <c r="G4" i="22"/>
  <c r="A17" i="21"/>
  <c r="A15" i="21"/>
  <c r="A13" i="21"/>
  <c r="A8" i="21"/>
  <c r="A7" i="21"/>
  <c r="A5" i="21"/>
  <c r="A4" i="21"/>
  <c r="B6" i="18"/>
  <c r="D19" i="11"/>
  <c r="D20" i="11" s="1"/>
  <c r="C22" i="18"/>
  <c r="K22" i="18"/>
  <c r="J22" i="18"/>
  <c r="I22" i="18"/>
  <c r="H22" i="18"/>
  <c r="G22" i="18"/>
  <c r="F22" i="18"/>
  <c r="E22" i="18"/>
  <c r="D22" i="18"/>
  <c r="G5" i="22" l="1"/>
  <c r="H4" i="22"/>
  <c r="D22" i="11"/>
  <c r="C40" i="4"/>
  <c r="C7" i="4" s="1"/>
  <c r="G25" i="3"/>
  <c r="I40" i="7"/>
  <c r="J40" i="7"/>
  <c r="K40" i="7"/>
  <c r="C19" i="1" l="1"/>
  <c r="C9" i="4"/>
  <c r="D9" i="4" s="1"/>
  <c r="E9" i="4" s="1"/>
  <c r="F9" i="4" s="1"/>
  <c r="G9" i="4" s="1"/>
  <c r="H9" i="4" s="1"/>
  <c r="I9" i="4" s="1"/>
  <c r="J9" i="4" s="1"/>
  <c r="K9" i="4" s="1"/>
  <c r="G27" i="3"/>
  <c r="H5" i="22"/>
  <c r="I4" i="22"/>
  <c r="D39" i="4"/>
  <c r="D40" i="4" s="1"/>
  <c r="D7" i="4" s="1"/>
  <c r="B20" i="19"/>
  <c r="I5" i="22" l="1"/>
  <c r="J4" i="22"/>
  <c r="D21" i="11"/>
  <c r="E39" i="4"/>
  <c r="E40" i="4" s="1"/>
  <c r="E7" i="4" s="1"/>
  <c r="B5" i="19"/>
  <c r="I5" i="19"/>
  <c r="H5" i="19"/>
  <c r="D5" i="19"/>
  <c r="G5" i="19"/>
  <c r="F5" i="19"/>
  <c r="E5" i="19"/>
  <c r="C5" i="19"/>
  <c r="J5" i="19"/>
  <c r="K4" i="22" l="1"/>
  <c r="J5" i="22"/>
  <c r="B7" i="19"/>
  <c r="C7" i="19" s="1"/>
  <c r="D7" i="19" s="1"/>
  <c r="E7" i="19" s="1"/>
  <c r="F7" i="19" s="1"/>
  <c r="G7" i="19" s="1"/>
  <c r="H7" i="19" s="1"/>
  <c r="I7" i="19" s="1"/>
  <c r="J7" i="19" s="1"/>
  <c r="F39" i="4"/>
  <c r="F40" i="4" s="1"/>
  <c r="F7" i="4" s="1"/>
  <c r="F25" i="19"/>
  <c r="G25" i="19"/>
  <c r="D25" i="19"/>
  <c r="D6" i="19"/>
  <c r="H25" i="19"/>
  <c r="I25" i="19"/>
  <c r="J25" i="19"/>
  <c r="B25" i="19"/>
  <c r="B26" i="19" s="1"/>
  <c r="B6" i="19"/>
  <c r="E25" i="19"/>
  <c r="E6" i="19"/>
  <c r="C25" i="19"/>
  <c r="C6" i="19"/>
  <c r="K5" i="22" l="1"/>
  <c r="L4" i="22"/>
  <c r="L5" i="22" s="1"/>
  <c r="K19" i="4"/>
  <c r="K15" i="4" s="1"/>
  <c r="K23" i="7" s="1"/>
  <c r="C19" i="4"/>
  <c r="C15" i="4" s="1"/>
  <c r="C23" i="7" s="1"/>
  <c r="G39" i="4"/>
  <c r="G40" i="4" s="1"/>
  <c r="G7" i="4" s="1"/>
  <c r="D27" i="19"/>
  <c r="E27" i="19"/>
  <c r="B27" i="19"/>
  <c r="B28" i="19" s="1"/>
  <c r="C27" i="19"/>
  <c r="C10" i="4" l="1"/>
  <c r="C12" i="7"/>
  <c r="C8" i="18" s="1"/>
  <c r="C23" i="18" s="1"/>
  <c r="K10" i="4"/>
  <c r="K12" i="7"/>
  <c r="F5" i="11"/>
  <c r="E7" i="11" s="1"/>
  <c r="E19" i="4"/>
  <c r="E15" i="4" s="1"/>
  <c r="E23" i="7" s="1"/>
  <c r="I19" i="4"/>
  <c r="I15" i="4" s="1"/>
  <c r="I23" i="7" s="1"/>
  <c r="J19" i="4"/>
  <c r="J15" i="4" s="1"/>
  <c r="J23" i="7" s="1"/>
  <c r="D19" i="4"/>
  <c r="D15" i="4" s="1"/>
  <c r="D23" i="7" s="1"/>
  <c r="F19" i="4"/>
  <c r="F15" i="4" s="1"/>
  <c r="F23" i="7" s="1"/>
  <c r="G19" i="4"/>
  <c r="G15" i="4" s="1"/>
  <c r="G23" i="7" s="1"/>
  <c r="H19" i="4"/>
  <c r="H15" i="4" s="1"/>
  <c r="H23" i="7" s="1"/>
  <c r="J3" i="20"/>
  <c r="B3" i="20"/>
  <c r="H39" i="4"/>
  <c r="H40" i="4" s="1"/>
  <c r="H7" i="4" s="1"/>
  <c r="C24" i="19"/>
  <c r="J10" i="4" l="1"/>
  <c r="J12" i="7"/>
  <c r="D10" i="4"/>
  <c r="D12" i="7"/>
  <c r="E10" i="4"/>
  <c r="E12" i="7"/>
  <c r="E8" i="18" s="1"/>
  <c r="H12" i="7"/>
  <c r="H10" i="4"/>
  <c r="G12" i="7"/>
  <c r="G10" i="4"/>
  <c r="F12" i="7"/>
  <c r="F10" i="4"/>
  <c r="I10" i="4"/>
  <c r="I12" i="7"/>
  <c r="G3" i="20"/>
  <c r="C3" i="20"/>
  <c r="D3" i="20"/>
  <c r="I3" i="20"/>
  <c r="H3" i="20"/>
  <c r="D8" i="18"/>
  <c r="E3" i="20"/>
  <c r="F3" i="20"/>
  <c r="C28" i="19"/>
  <c r="C26" i="19"/>
  <c r="I39" i="4"/>
  <c r="I40" i="4" l="1"/>
  <c r="I7" i="4" s="1"/>
  <c r="J39" i="4"/>
  <c r="K39" i="4" s="1"/>
  <c r="D24" i="19"/>
  <c r="D28" i="19" s="1"/>
  <c r="D23" i="11" l="1"/>
  <c r="E9" i="11"/>
  <c r="J40" i="4"/>
  <c r="J7" i="4" s="1"/>
  <c r="D26" i="19"/>
  <c r="E24" i="19"/>
  <c r="E26" i="19" s="1"/>
  <c r="D13" i="14"/>
  <c r="C12" i="1"/>
  <c r="C6" i="10" s="1"/>
  <c r="C35" i="1"/>
  <c r="C28" i="4" s="1"/>
  <c r="J25" i="4"/>
  <c r="K25" i="4"/>
  <c r="K12" i="18" s="1"/>
  <c r="D9" i="18"/>
  <c r="E28" i="19" l="1"/>
  <c r="C46" i="7"/>
  <c r="K40" i="4"/>
  <c r="K7" i="4" s="1"/>
  <c r="D14" i="14"/>
  <c r="C18" i="18"/>
  <c r="J12" i="18"/>
  <c r="J45" i="7"/>
  <c r="K45" i="7"/>
  <c r="C28" i="7"/>
  <c r="E6" i="9"/>
  <c r="E17" i="9"/>
  <c r="F24" i="19" l="1"/>
  <c r="F26" i="19" s="1"/>
  <c r="F6" i="19" s="1"/>
  <c r="D15" i="14"/>
  <c r="D16" i="14" s="1"/>
  <c r="D17" i="14" s="1"/>
  <c r="D18" i="14" s="1"/>
  <c r="D19" i="14" s="1"/>
  <c r="E9" i="18"/>
  <c r="D18" i="18" l="1"/>
  <c r="D46" i="7"/>
  <c r="D20" i="14"/>
  <c r="D21" i="14" s="1"/>
  <c r="D22" i="14" s="1"/>
  <c r="D23" i="14" s="1"/>
  <c r="D24" i="14" s="1"/>
  <c r="D25" i="14" s="1"/>
  <c r="F27" i="19"/>
  <c r="F28" i="19" s="1"/>
  <c r="D11" i="4"/>
  <c r="D12" i="4" s="1"/>
  <c r="D28" i="7"/>
  <c r="F9" i="18"/>
  <c r="D4" i="14"/>
  <c r="E12" i="10"/>
  <c r="D24" i="11"/>
  <c r="J47" i="7"/>
  <c r="K47" i="7"/>
  <c r="C12" i="10"/>
  <c r="C20" i="1"/>
  <c r="D6" i="10" s="1"/>
  <c r="D12" i="10" s="1"/>
  <c r="D13" i="10" s="1"/>
  <c r="C16" i="1"/>
  <c r="F8" i="10"/>
  <c r="F7" i="10"/>
  <c r="E9" i="9"/>
  <c r="E7" i="9"/>
  <c r="C9" i="1"/>
  <c r="E18" i="18" l="1"/>
  <c r="E46" i="7"/>
  <c r="F18" i="18"/>
  <c r="F46" i="7"/>
  <c r="G24" i="19"/>
  <c r="C11" i="14"/>
  <c r="E11" i="14" s="1"/>
  <c r="C39" i="1"/>
  <c r="C8" i="2" s="1"/>
  <c r="C9" i="7"/>
  <c r="F6" i="10"/>
  <c r="F12" i="10"/>
  <c r="F13" i="11" s="1"/>
  <c r="C29" i="4"/>
  <c r="D10" i="18"/>
  <c r="C7" i="15"/>
  <c r="E10" i="9"/>
  <c r="E28" i="7"/>
  <c r="G9" i="18"/>
  <c r="E10" i="18"/>
  <c r="C10" i="7"/>
  <c r="B10" i="13"/>
  <c r="C13" i="10"/>
  <c r="C3" i="15"/>
  <c r="C10" i="14"/>
  <c r="E10" i="14" s="1"/>
  <c r="C12" i="14"/>
  <c r="E12" i="14" s="1"/>
  <c r="E13" i="10"/>
  <c r="K6" i="12"/>
  <c r="E5" i="12"/>
  <c r="H6" i="12"/>
  <c r="E6" i="12"/>
  <c r="D6" i="12"/>
  <c r="F6" i="12"/>
  <c r="F5" i="12"/>
  <c r="G5" i="12"/>
  <c r="I6" i="12"/>
  <c r="D14" i="10"/>
  <c r="G26" i="19" l="1"/>
  <c r="G6" i="19" s="1"/>
  <c r="F9" i="10"/>
  <c r="B7" i="18"/>
  <c r="B25" i="18" s="1"/>
  <c r="B26" i="18" s="1"/>
  <c r="F13" i="10"/>
  <c r="C11" i="7"/>
  <c r="D9" i="7" s="1"/>
  <c r="E11" i="4"/>
  <c r="E12" i="4" s="1"/>
  <c r="D28" i="14"/>
  <c r="C13" i="14"/>
  <c r="E13" i="14" s="1"/>
  <c r="E13" i="9"/>
  <c r="F28" i="7"/>
  <c r="F3" i="15"/>
  <c r="F10" i="18"/>
  <c r="H9" i="18"/>
  <c r="C14" i="10"/>
  <c r="F14" i="10" s="1"/>
  <c r="C10" i="13"/>
  <c r="D29" i="4"/>
  <c r="D10" i="7"/>
  <c r="E3" i="15"/>
  <c r="D3" i="15"/>
  <c r="E14" i="10"/>
  <c r="H5" i="12"/>
  <c r="J5" i="12"/>
  <c r="C6" i="12"/>
  <c r="J6" i="12"/>
  <c r="D5" i="12"/>
  <c r="I5" i="12"/>
  <c r="C5" i="12"/>
  <c r="G6" i="12"/>
  <c r="K5" i="12"/>
  <c r="D15" i="10"/>
  <c r="D16" i="10" s="1"/>
  <c r="D17" i="10" s="1"/>
  <c r="G27" i="19" l="1"/>
  <c r="G28" i="19" s="1"/>
  <c r="E15" i="9"/>
  <c r="C14" i="4"/>
  <c r="D14" i="4" s="1"/>
  <c r="E14" i="4" s="1"/>
  <c r="F14" i="4" s="1"/>
  <c r="G14" i="4" s="1"/>
  <c r="H14" i="4" s="1"/>
  <c r="I14" i="4" s="1"/>
  <c r="J14" i="4" s="1"/>
  <c r="K14" i="4" s="1"/>
  <c r="F15" i="11"/>
  <c r="C17" i="7"/>
  <c r="B5" i="18" s="1"/>
  <c r="C39" i="7"/>
  <c r="F11" i="4"/>
  <c r="F12" i="4" s="1"/>
  <c r="D29" i="14"/>
  <c r="G46" i="7" s="1"/>
  <c r="C14" i="14"/>
  <c r="E14" i="14" s="1"/>
  <c r="G28" i="7"/>
  <c r="I9" i="18"/>
  <c r="G10" i="18"/>
  <c r="D11" i="7"/>
  <c r="D39" i="7" s="1"/>
  <c r="E29" i="4"/>
  <c r="E10" i="7"/>
  <c r="D10" i="13"/>
  <c r="C15" i="10"/>
  <c r="E15" i="10"/>
  <c r="D18" i="10"/>
  <c r="C24" i="18" l="1"/>
  <c r="B23" i="18"/>
  <c r="F12" i="11"/>
  <c r="H24" i="19"/>
  <c r="H26" i="19" s="1"/>
  <c r="H6" i="19" s="1"/>
  <c r="C16" i="4"/>
  <c r="F15" i="10"/>
  <c r="C23" i="4"/>
  <c r="C25" i="4" s="1"/>
  <c r="G11" i="4"/>
  <c r="G12" i="4" s="1"/>
  <c r="D30" i="14"/>
  <c r="G18" i="18"/>
  <c r="C21" i="7"/>
  <c r="C15" i="14"/>
  <c r="E15" i="14" s="1"/>
  <c r="F8" i="18"/>
  <c r="H28" i="7"/>
  <c r="H10" i="18"/>
  <c r="G3" i="15"/>
  <c r="J9" i="18"/>
  <c r="E9" i="7"/>
  <c r="E11" i="7" s="1"/>
  <c r="E39" i="7" s="1"/>
  <c r="F10" i="7"/>
  <c r="E10" i="13"/>
  <c r="F29" i="4"/>
  <c r="C16" i="10"/>
  <c r="C17" i="10" s="1"/>
  <c r="E16" i="10"/>
  <c r="D19" i="10"/>
  <c r="D20" i="10" s="1"/>
  <c r="B28" i="18" l="1"/>
  <c r="B24" i="18"/>
  <c r="B29" i="18" s="1"/>
  <c r="C40" i="7"/>
  <c r="C41" i="7" s="1"/>
  <c r="C33" i="7"/>
  <c r="H27" i="19"/>
  <c r="H28" i="19" s="1"/>
  <c r="D16" i="4"/>
  <c r="D11" i="18" s="1"/>
  <c r="F16" i="10"/>
  <c r="C45" i="7"/>
  <c r="C47" i="7" s="1"/>
  <c r="C12" i="18"/>
  <c r="E16" i="4"/>
  <c r="H11" i="4"/>
  <c r="H12" i="4" s="1"/>
  <c r="D31" i="14"/>
  <c r="D32" i="14" s="1"/>
  <c r="D33" i="14" s="1"/>
  <c r="D34" i="14" s="1"/>
  <c r="C16" i="14"/>
  <c r="E16" i="14" s="1"/>
  <c r="G8" i="18"/>
  <c r="I28" i="7"/>
  <c r="K9" i="18"/>
  <c r="I10" i="18"/>
  <c r="H3" i="15"/>
  <c r="F9" i="7"/>
  <c r="F11" i="7" s="1"/>
  <c r="F39" i="7" s="1"/>
  <c r="G10" i="7"/>
  <c r="F10" i="13"/>
  <c r="G29" i="4"/>
  <c r="C18" i="10"/>
  <c r="E17" i="10"/>
  <c r="H29" i="4" s="1"/>
  <c r="D35" i="14" l="1"/>
  <c r="D36" i="14" s="1"/>
  <c r="H46" i="7"/>
  <c r="H18" i="18"/>
  <c r="D18" i="4"/>
  <c r="D20" i="4" s="1"/>
  <c r="D48" i="7" s="1"/>
  <c r="I24" i="19"/>
  <c r="I26" i="19" s="1"/>
  <c r="I6" i="19" s="1"/>
  <c r="F17" i="10"/>
  <c r="F16" i="4"/>
  <c r="E11" i="18"/>
  <c r="E18" i="4"/>
  <c r="I11" i="4"/>
  <c r="I12" i="4" s="1"/>
  <c r="C17" i="14"/>
  <c r="E17" i="14" s="1"/>
  <c r="H8" i="18"/>
  <c r="K28" i="7"/>
  <c r="J28" i="7"/>
  <c r="J10" i="18"/>
  <c r="I3" i="15"/>
  <c r="G9" i="7"/>
  <c r="G11" i="7" s="1"/>
  <c r="H10" i="7"/>
  <c r="G10" i="13"/>
  <c r="C19" i="10"/>
  <c r="E18" i="10"/>
  <c r="E19" i="10" s="1"/>
  <c r="I46" i="7" l="1"/>
  <c r="C4" i="20"/>
  <c r="C5" i="20" s="1"/>
  <c r="C6" i="20" s="1"/>
  <c r="I27" i="19"/>
  <c r="I28" i="19" s="1"/>
  <c r="F18" i="10"/>
  <c r="E20" i="4"/>
  <c r="E48" i="7" s="1"/>
  <c r="D4" i="20"/>
  <c r="C20" i="10"/>
  <c r="F19" i="10"/>
  <c r="F9" i="11"/>
  <c r="F10" i="11" s="1"/>
  <c r="G16" i="4"/>
  <c r="F11" i="18"/>
  <c r="F18" i="4"/>
  <c r="J11" i="4"/>
  <c r="J12" i="4" s="1"/>
  <c r="K11" i="4"/>
  <c r="K12" i="4" s="1"/>
  <c r="C18" i="14"/>
  <c r="E18" i="14" s="1"/>
  <c r="D23" i="4"/>
  <c r="D25" i="4" s="1"/>
  <c r="I8" i="18"/>
  <c r="K10" i="18"/>
  <c r="G39" i="7"/>
  <c r="H9" i="7"/>
  <c r="H11" i="7" s="1"/>
  <c r="I10" i="7"/>
  <c r="I29" i="4"/>
  <c r="H10" i="13"/>
  <c r="I10" i="13"/>
  <c r="J10" i="7"/>
  <c r="J29" i="4"/>
  <c r="E20" i="10"/>
  <c r="J24" i="19" l="1"/>
  <c r="J26" i="19" s="1"/>
  <c r="J6" i="19" s="1"/>
  <c r="F20" i="10"/>
  <c r="F20" i="4"/>
  <c r="F48" i="7" s="1"/>
  <c r="E4" i="20"/>
  <c r="E5" i="20" s="1"/>
  <c r="E6" i="20" s="1"/>
  <c r="D5" i="20"/>
  <c r="D6" i="20" s="1"/>
  <c r="K29" i="4"/>
  <c r="J10" i="13"/>
  <c r="G11" i="18"/>
  <c r="G18" i="4"/>
  <c r="F4" i="20" s="1"/>
  <c r="F5" i="20" s="1"/>
  <c r="F6" i="20" s="1"/>
  <c r="H16" i="4"/>
  <c r="D27" i="4"/>
  <c r="D31" i="4" s="1"/>
  <c r="D12" i="18"/>
  <c r="D45" i="7"/>
  <c r="D47" i="7" s="1"/>
  <c r="D49" i="7" s="1"/>
  <c r="D21" i="7"/>
  <c r="C19" i="14"/>
  <c r="E19" i="14" s="1"/>
  <c r="J8" i="18"/>
  <c r="K8" i="18"/>
  <c r="H39" i="7"/>
  <c r="I9" i="7"/>
  <c r="I11" i="7" s="1"/>
  <c r="J9" i="7" s="1"/>
  <c r="J11" i="7" s="1"/>
  <c r="K10" i="7"/>
  <c r="D40" i="7" l="1"/>
  <c r="D41" i="7" s="1"/>
  <c r="D33" i="7"/>
  <c r="J27" i="19"/>
  <c r="J28" i="19" s="1"/>
  <c r="C7" i="20"/>
  <c r="F16" i="11"/>
  <c r="D25" i="11" s="1"/>
  <c r="D26" i="11" s="1"/>
  <c r="H11" i="18"/>
  <c r="H18" i="4"/>
  <c r="G4" i="20" s="1"/>
  <c r="G5" i="20" s="1"/>
  <c r="G6" i="20" s="1"/>
  <c r="I16" i="4"/>
  <c r="C20" i="14"/>
  <c r="E20" i="14" s="1"/>
  <c r="C7" i="13"/>
  <c r="C9" i="13" s="1"/>
  <c r="C11" i="13" s="1"/>
  <c r="C13" i="13" s="1"/>
  <c r="C14" i="13" s="1"/>
  <c r="D32" i="4" s="1"/>
  <c r="D14" i="18" s="1"/>
  <c r="I39" i="7"/>
  <c r="J39" i="7"/>
  <c r="K9" i="7"/>
  <c r="K11" i="7" s="1"/>
  <c r="K39" i="7" s="1"/>
  <c r="G20" i="4"/>
  <c r="G48" i="7" s="1"/>
  <c r="K16" i="4" l="1"/>
  <c r="J16" i="4"/>
  <c r="I11" i="18"/>
  <c r="I18" i="4"/>
  <c r="H4" i="20" s="1"/>
  <c r="H5" i="20" s="1"/>
  <c r="H6" i="20" s="1"/>
  <c r="I18" i="18"/>
  <c r="D33" i="4"/>
  <c r="D34" i="4" s="1"/>
  <c r="C21" i="14"/>
  <c r="E21" i="14" s="1"/>
  <c r="C8" i="20" l="1"/>
  <c r="D16" i="18"/>
  <c r="D25" i="18" s="1"/>
  <c r="J11" i="18"/>
  <c r="J18" i="4"/>
  <c r="I4" i="20" s="1"/>
  <c r="I5" i="20" s="1"/>
  <c r="I6" i="20" s="1"/>
  <c r="K11" i="18"/>
  <c r="K18" i="4"/>
  <c r="J4" i="20" s="1"/>
  <c r="J5" i="20" s="1"/>
  <c r="J6" i="20" s="1"/>
  <c r="E23" i="4"/>
  <c r="E25" i="4" s="1"/>
  <c r="C22" i="14"/>
  <c r="E22" i="14" s="1"/>
  <c r="H20" i="4"/>
  <c r="H48" i="7" s="1"/>
  <c r="D26" i="18" l="1"/>
  <c r="D35" i="4"/>
  <c r="D18" i="7" s="1"/>
  <c r="E21" i="7"/>
  <c r="C23" i="14"/>
  <c r="E23" i="14" s="1"/>
  <c r="E45" i="7"/>
  <c r="E47" i="7" s="1"/>
  <c r="E49" i="7" s="1"/>
  <c r="E12" i="18"/>
  <c r="E27" i="4"/>
  <c r="E31" i="4" s="1"/>
  <c r="E40" i="7" l="1"/>
  <c r="E41" i="7" s="1"/>
  <c r="E33" i="7"/>
  <c r="D7" i="20"/>
  <c r="D7" i="13"/>
  <c r="D9" i="13" s="1"/>
  <c r="D11" i="13" s="1"/>
  <c r="D13" i="13" s="1"/>
  <c r="D14" i="13" s="1"/>
  <c r="E32" i="4" s="1"/>
  <c r="E14" i="18" s="1"/>
  <c r="C24" i="14"/>
  <c r="E24" i="14" s="1"/>
  <c r="I20" i="4"/>
  <c r="I48" i="7" s="1"/>
  <c r="E33" i="4" l="1"/>
  <c r="E34" i="4" s="1"/>
  <c r="C25" i="14"/>
  <c r="E25" i="14" s="1"/>
  <c r="E16" i="18" l="1"/>
  <c r="D8" i="20"/>
  <c r="F23" i="4"/>
  <c r="F25" i="4" s="1"/>
  <c r="C26" i="14"/>
  <c r="E26" i="14" s="1"/>
  <c r="E25" i="18" l="1"/>
  <c r="E26" i="18" s="1"/>
  <c r="E35" i="4"/>
  <c r="E18" i="7" s="1"/>
  <c r="F21" i="7"/>
  <c r="C27" i="14"/>
  <c r="F45" i="7"/>
  <c r="F47" i="7" s="1"/>
  <c r="F49" i="7" s="1"/>
  <c r="F12" i="18"/>
  <c r="F27" i="4"/>
  <c r="F31" i="4" s="1"/>
  <c r="J20" i="4"/>
  <c r="J3" i="15"/>
  <c r="K3" i="15"/>
  <c r="F40" i="7" l="1"/>
  <c r="F41" i="7" s="1"/>
  <c r="F33" i="7"/>
  <c r="E7" i="20"/>
  <c r="E7" i="13"/>
  <c r="E9" i="13" s="1"/>
  <c r="E11" i="13" s="1"/>
  <c r="E13" i="13" s="1"/>
  <c r="E14" i="13" s="1"/>
  <c r="F32" i="4" s="1"/>
  <c r="F14" i="18" s="1"/>
  <c r="E28" i="14"/>
  <c r="J27" i="4"/>
  <c r="J48" i="7"/>
  <c r="K20" i="4"/>
  <c r="I7" i="20" l="1"/>
  <c r="C29" i="14"/>
  <c r="E29" i="14" s="1"/>
  <c r="F33" i="4"/>
  <c r="F34" i="4" s="1"/>
  <c r="I7" i="13"/>
  <c r="I9" i="13" s="1"/>
  <c r="I11" i="13" s="1"/>
  <c r="I13" i="13" s="1"/>
  <c r="I14" i="13" s="1"/>
  <c r="J32" i="4" s="1"/>
  <c r="J14" i="18" s="1"/>
  <c r="K27" i="4"/>
  <c r="K48" i="7"/>
  <c r="E8" i="20" l="1"/>
  <c r="F16" i="18"/>
  <c r="F25" i="18" s="1"/>
  <c r="J7" i="20"/>
  <c r="G23" i="4"/>
  <c r="G25" i="4" s="1"/>
  <c r="G21" i="7"/>
  <c r="C30" i="14"/>
  <c r="E30" i="14" s="1"/>
  <c r="J33" i="4"/>
  <c r="J34" i="4" s="1"/>
  <c r="J7" i="13"/>
  <c r="J9" i="13" s="1"/>
  <c r="J11" i="13" s="1"/>
  <c r="J13" i="13" s="1"/>
  <c r="J14" i="13" s="1"/>
  <c r="K32" i="4" s="1"/>
  <c r="G40" i="7" l="1"/>
  <c r="G33" i="7"/>
  <c r="J35" i="4"/>
  <c r="J18" i="7" s="1"/>
  <c r="I8" i="20"/>
  <c r="F35" i="4"/>
  <c r="F18" i="7" s="1"/>
  <c r="G12" i="18"/>
  <c r="G45" i="7"/>
  <c r="G47" i="7" s="1"/>
  <c r="G49" i="7" s="1"/>
  <c r="G27" i="4"/>
  <c r="C31" i="14"/>
  <c r="E31" i="14" s="1"/>
  <c r="K33" i="4"/>
  <c r="K34" i="4" s="1"/>
  <c r="K14" i="18"/>
  <c r="J16" i="18" l="1"/>
  <c r="F26" i="18"/>
  <c r="F7" i="20"/>
  <c r="K35" i="4"/>
  <c r="K18" i="7" s="1"/>
  <c r="J8" i="20"/>
  <c r="F7" i="13"/>
  <c r="F9" i="13" s="1"/>
  <c r="F11" i="13" s="1"/>
  <c r="F13" i="13" s="1"/>
  <c r="F14" i="13" s="1"/>
  <c r="G32" i="4" s="1"/>
  <c r="G14" i="18" s="1"/>
  <c r="C32" i="14"/>
  <c r="J25" i="18" l="1"/>
  <c r="J26" i="18" s="1"/>
  <c r="E32" i="14"/>
  <c r="C33" i="14"/>
  <c r="C34" i="14" s="1"/>
  <c r="C35" i="14" s="1"/>
  <c r="C36" i="14" s="1"/>
  <c r="C37" i="14" s="1"/>
  <c r="K16" i="18"/>
  <c r="G33" i="4"/>
  <c r="G34" i="4" s="1"/>
  <c r="K25" i="18" l="1"/>
  <c r="K26" i="18" s="1"/>
  <c r="F8" i="20"/>
  <c r="G16" i="18"/>
  <c r="G25" i="18" s="1"/>
  <c r="E33" i="14"/>
  <c r="H23" i="4" s="1"/>
  <c r="H25" i="4" s="1"/>
  <c r="H21" i="7"/>
  <c r="E34" i="14"/>
  <c r="H40" i="7" l="1"/>
  <c r="F42" i="7" s="1"/>
  <c r="H33" i="7"/>
  <c r="G35" i="4"/>
  <c r="G18" i="7" s="1"/>
  <c r="H45" i="7"/>
  <c r="H47" i="7" s="1"/>
  <c r="H27" i="4"/>
  <c r="H12" i="18"/>
  <c r="E35" i="14"/>
  <c r="G26" i="18" l="1"/>
  <c r="G7" i="20"/>
  <c r="E36" i="14"/>
  <c r="G7" i="13"/>
  <c r="G9" i="13" s="1"/>
  <c r="G11" i="13" s="1"/>
  <c r="G13" i="13" s="1"/>
  <c r="G14" i="13" s="1"/>
  <c r="H32" i="4" s="1"/>
  <c r="H14" i="18" s="1"/>
  <c r="H33" i="4" l="1"/>
  <c r="H34" i="4" s="1"/>
  <c r="E37" i="14"/>
  <c r="G8" i="20" l="1"/>
  <c r="H16" i="18"/>
  <c r="H25" i="18" s="1"/>
  <c r="I23" i="4"/>
  <c r="I25" i="4" s="1"/>
  <c r="H35" i="4" l="1"/>
  <c r="H18" i="7" s="1"/>
  <c r="I27" i="4"/>
  <c r="I12" i="18"/>
  <c r="I45" i="7"/>
  <c r="I47" i="7" s="1"/>
  <c r="H26" i="18" l="1"/>
  <c r="H7" i="20"/>
  <c r="H7" i="13"/>
  <c r="H9" i="13" s="1"/>
  <c r="H11" i="13" s="1"/>
  <c r="H13" i="13" s="1"/>
  <c r="H14" i="13" s="1"/>
  <c r="I32" i="4" s="1"/>
  <c r="I14" i="18" s="1"/>
  <c r="I33" i="4" l="1"/>
  <c r="I34" i="4" s="1"/>
  <c r="H8" i="20" l="1"/>
  <c r="I16" i="18"/>
  <c r="I25" i="18" s="1"/>
  <c r="I35" i="4" l="1"/>
  <c r="I18" i="7" s="1"/>
  <c r="I26" i="18" l="1"/>
  <c r="C11" i="4"/>
  <c r="C11" i="18" l="1"/>
  <c r="C13" i="18" s="1"/>
  <c r="C12" i="4"/>
  <c r="C18" i="4" s="1"/>
  <c r="C20" i="4" l="1"/>
  <c r="B4" i="20"/>
  <c r="B5" i="20" s="1"/>
  <c r="B6" i="20" s="1"/>
  <c r="C48" i="7" l="1"/>
  <c r="C49" i="7" s="1"/>
  <c r="F50" i="7" s="1"/>
  <c r="C27" i="4"/>
  <c r="C31" i="4" l="1"/>
  <c r="B7" i="13"/>
  <c r="B9" i="13" s="1"/>
  <c r="B11" i="13" s="1"/>
  <c r="B13" i="13" s="1"/>
  <c r="B14" i="13" s="1"/>
  <c r="C32" i="4" s="1"/>
  <c r="C14" i="18" s="1"/>
  <c r="C15" i="18" s="1"/>
  <c r="C33" i="4" l="1"/>
  <c r="C34" i="4" s="1"/>
  <c r="B7" i="20"/>
  <c r="B8" i="20" l="1"/>
  <c r="C16" i="18" l="1"/>
  <c r="C35" i="4"/>
  <c r="C18" i="7" s="1"/>
  <c r="C20" i="7" s="1"/>
  <c r="C34" i="7" l="1"/>
  <c r="C35" i="7" s="1"/>
  <c r="C24" i="7"/>
  <c r="D17" i="7"/>
  <c r="D20" i="7" s="1"/>
  <c r="C25" i="18"/>
  <c r="C17" i="18"/>
  <c r="C19" i="18" s="1"/>
  <c r="C13" i="7" s="1"/>
  <c r="D4" i="18" l="1"/>
  <c r="C28" i="18"/>
  <c r="C29" i="18" s="1"/>
  <c r="C26" i="18"/>
  <c r="E17" i="7"/>
  <c r="E20" i="7" s="1"/>
  <c r="D24" i="7"/>
  <c r="D34" i="7"/>
  <c r="D35" i="7" s="1"/>
  <c r="E34" i="7" l="1"/>
  <c r="E35" i="7" s="1"/>
  <c r="F17" i="7"/>
  <c r="F20" i="7" s="1"/>
  <c r="E24" i="7"/>
  <c r="D23" i="18"/>
  <c r="D13" i="18"/>
  <c r="D15" i="18" s="1"/>
  <c r="D17" i="18" s="1"/>
  <c r="D19" i="18" s="1"/>
  <c r="C14" i="7"/>
  <c r="C27" i="7"/>
  <c r="C29" i="7" s="1"/>
  <c r="E4" i="18" l="1"/>
  <c r="D13" i="7"/>
  <c r="D28" i="18"/>
  <c r="D29" i="18" s="1"/>
  <c r="D24" i="18"/>
  <c r="F34" i="7"/>
  <c r="F35" i="7" s="1"/>
  <c r="F24" i="7"/>
  <c r="G17" i="7"/>
  <c r="G20" i="7" s="1"/>
  <c r="G34" i="7" l="1"/>
  <c r="G35" i="7" s="1"/>
  <c r="G24" i="7"/>
  <c r="H17" i="7"/>
  <c r="H20" i="7" s="1"/>
  <c r="D27" i="7"/>
  <c r="D29" i="7" s="1"/>
  <c r="D14" i="7"/>
  <c r="E13" i="18"/>
  <c r="E15" i="18" s="1"/>
  <c r="E17" i="18" s="1"/>
  <c r="E19" i="18" s="1"/>
  <c r="E23" i="18"/>
  <c r="E13" i="7" l="1"/>
  <c r="F4" i="18"/>
  <c r="E24" i="18"/>
  <c r="E28" i="18"/>
  <c r="E29" i="18" s="1"/>
  <c r="I17" i="7"/>
  <c r="I20" i="7" s="1"/>
  <c r="H24" i="7"/>
  <c r="H34" i="7"/>
  <c r="H35" i="7" s="1"/>
  <c r="J17" i="7" l="1"/>
  <c r="J20" i="7" s="1"/>
  <c r="I34" i="7"/>
  <c r="I35" i="7" s="1"/>
  <c r="I24" i="7"/>
  <c r="F23" i="18"/>
  <c r="F13" i="18"/>
  <c r="F15" i="18" s="1"/>
  <c r="F17" i="18" s="1"/>
  <c r="F19" i="18" s="1"/>
  <c r="E27" i="7"/>
  <c r="E29" i="7" s="1"/>
  <c r="E14" i="7"/>
  <c r="F13" i="7" l="1"/>
  <c r="G4" i="18"/>
  <c r="F28" i="18"/>
  <c r="F29" i="18" s="1"/>
  <c r="F24" i="18"/>
  <c r="J24" i="7"/>
  <c r="K17" i="7"/>
  <c r="K20" i="7" s="1"/>
  <c r="J34" i="7"/>
  <c r="J35" i="7" s="1"/>
  <c r="K34" i="7" l="1"/>
  <c r="K35" i="7" s="1"/>
  <c r="F36" i="7" s="1"/>
  <c r="K24" i="7"/>
  <c r="G13" i="18"/>
  <c r="G15" i="18" s="1"/>
  <c r="G17" i="18" s="1"/>
  <c r="G19" i="18" s="1"/>
  <c r="G23" i="18"/>
  <c r="F14" i="7"/>
  <c r="F27" i="7"/>
  <c r="F29" i="7" s="1"/>
  <c r="G28" i="18" l="1"/>
  <c r="G29" i="18" s="1"/>
  <c r="G24" i="18"/>
  <c r="H4" i="18"/>
  <c r="G13" i="7"/>
  <c r="G27" i="7" l="1"/>
  <c r="G29" i="7" s="1"/>
  <c r="G14" i="7"/>
  <c r="H23" i="18"/>
  <c r="H13" i="18"/>
  <c r="H15" i="18" s="1"/>
  <c r="H17" i="18" s="1"/>
  <c r="H19" i="18" s="1"/>
  <c r="H24" i="18" l="1"/>
  <c r="H28" i="18"/>
  <c r="H29" i="18" s="1"/>
  <c r="I4" i="18"/>
  <c r="H13" i="7"/>
  <c r="H14" i="7" l="1"/>
  <c r="H27" i="7"/>
  <c r="H29" i="7" s="1"/>
  <c r="I23" i="18"/>
  <c r="I13" i="18"/>
  <c r="I15" i="18" s="1"/>
  <c r="I17" i="18" s="1"/>
  <c r="I19" i="18" s="1"/>
  <c r="J4" i="18" l="1"/>
  <c r="I13" i="7"/>
  <c r="I24" i="18"/>
  <c r="I28" i="18"/>
  <c r="I29" i="18" s="1"/>
  <c r="I14" i="7" l="1"/>
  <c r="I27" i="7"/>
  <c r="I29" i="7" s="1"/>
  <c r="J23" i="18"/>
  <c r="J13" i="18"/>
  <c r="J15" i="18" s="1"/>
  <c r="J17" i="18" s="1"/>
  <c r="J19" i="18" s="1"/>
  <c r="K4" i="18" l="1"/>
  <c r="J13" i="7"/>
  <c r="J28" i="18"/>
  <c r="J29" i="18" s="1"/>
  <c r="J24" i="18"/>
  <c r="J14" i="7" l="1"/>
  <c r="J27" i="7"/>
  <c r="J29" i="7" s="1"/>
  <c r="K23" i="18"/>
  <c r="K13" i="18"/>
  <c r="K15" i="18" s="1"/>
  <c r="K17" i="18" s="1"/>
  <c r="K19" i="18" s="1"/>
  <c r="K13" i="7" s="1"/>
  <c r="K27" i="7" l="1"/>
  <c r="K29" i="7" s="1"/>
  <c r="F30" i="7" s="1"/>
  <c r="K14" i="7"/>
  <c r="K28" i="18"/>
  <c r="K29" i="18" s="1"/>
  <c r="L29" i="18" s="1"/>
  <c r="K24" i="18"/>
</calcChain>
</file>

<file path=xl/sharedStrings.xml><?xml version="1.0" encoding="utf-8"?>
<sst xmlns="http://schemas.openxmlformats.org/spreadsheetml/2006/main" count="442" uniqueCount="320">
  <si>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</si>
  <si>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</si>
  <si>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</si>
  <si>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</si>
  <si>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</si>
  <si>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</si>
  <si>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</si>
  <si>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</si>
  <si>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</si>
  <si>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</si>
  <si>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</si>
  <si>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</si>
  <si>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</si>
  <si>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</si>
  <si>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</si>
  <si>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</si>
  <si>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</si>
  <si>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</si>
  <si>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</si>
  <si>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</si>
  <si>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</si>
  <si>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</si>
  <si>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</si>
  <si>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</si>
  <si>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</si>
  <si>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</si>
  <si>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</si>
  <si>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</si>
  <si>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</si>
  <si>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</si>
  <si>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</si>
  <si>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</si>
  <si>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</si>
  <si>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</si>
  <si>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</si>
  <si>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</si>
  <si>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</si>
  <si>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</si>
  <si>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</si>
  <si>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</si>
  <si>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</si>
  <si>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</si>
  <si>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</si>
  <si>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</si>
  <si>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</si>
  <si>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</si>
  <si>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</si>
  <si>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</si>
  <si>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</si>
  <si>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</si>
  <si>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</si>
  <si>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</si>
  <si>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</si>
  <si>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</si>
  <si>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</si>
  <si>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</si>
  <si>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</si>
  <si>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</si>
  <si>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</si>
  <si>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</si>
  <si>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</si>
  <si>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</si>
  <si>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</si>
  <si>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</si>
  <si>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</si>
  <si>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</si>
  <si>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</si>
  <si>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</si>
  <si>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</si>
  <si>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</si>
  <si>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</si>
  <si>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</si>
  <si>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</si>
  <si>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</si>
  <si>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</si>
  <si>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</si>
  <si>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</si>
  <si>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Less: fixed cost</t>
  </si>
  <si>
    <t>Wages and salaries</t>
  </si>
  <si>
    <t>- electricity expense</t>
  </si>
  <si>
    <t>Depreciation</t>
  </si>
  <si>
    <t>Fixed cost</t>
  </si>
  <si>
    <t>Electricity charges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</si>
  <si>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</si>
  <si>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</si>
  <si>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</si>
  <si>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</si>
  <si>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</si>
  <si>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</si>
  <si>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</si>
  <si>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</si>
  <si>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</si>
  <si>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</si>
  <si>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</si>
  <si>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</si>
  <si>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</si>
  <si>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</si>
  <si>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</si>
  <si>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</si>
  <si>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</si>
  <si>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</si>
  <si>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</si>
  <si>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</si>
  <si>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</si>
  <si>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</si>
  <si>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</si>
  <si>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</si>
  <si>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</si>
  <si>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</si>
  <si>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</si>
  <si>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</si>
  <si>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</si>
  <si>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</si>
  <si>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</si>
  <si>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</si>
  <si>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</si>
  <si>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</si>
  <si>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</si>
  <si>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</si>
  <si>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</si>
  <si>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</si>
  <si>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</si>
  <si>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</si>
  <si>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</si>
  <si>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</si>
  <si>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</si>
  <si>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</si>
  <si>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</si>
  <si>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</si>
  <si>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</si>
  <si>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</si>
  <si>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</si>
  <si>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</si>
  <si>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</si>
  <si>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</si>
  <si>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</si>
  <si>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</si>
  <si>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</si>
  <si>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</si>
  <si>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</si>
  <si>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</si>
  <si>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</si>
  <si>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</si>
  <si>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</si>
  <si>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</si>
  <si>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</si>
  <si>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</si>
  <si>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</si>
  <si>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</si>
  <si>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</si>
  <si>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</si>
  <si>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</si>
  <si>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</si>
  <si>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</si>
  <si>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</si>
  <si>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</si>
  <si>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</si>
  <si>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</si>
  <si>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</si>
  <si>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</si>
  <si>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</si>
  <si>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</si>
  <si>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</si>
  <si>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</si>
  <si>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</si>
  <si>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</si>
  <si>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</si>
  <si>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</si>
  <si>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</si>
  <si>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</si>
  <si>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</si>
  <si>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</si>
  <si>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</si>
  <si>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</si>
  <si>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</si>
  <si>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</si>
  <si>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Sales qty</t>
  </si>
  <si>
    <t>Production budget</t>
  </si>
  <si>
    <t>Products</t>
  </si>
  <si>
    <t>Production at 100% capacity</t>
  </si>
  <si>
    <t>sales prices per kg in year I</t>
  </si>
  <si>
    <t>Opening Stock</t>
  </si>
  <si>
    <t>Add: Production</t>
  </si>
  <si>
    <t>Less: Sales</t>
  </si>
  <si>
    <t>Closing Stock</t>
  </si>
  <si>
    <t>Assumptions:</t>
  </si>
  <si>
    <t>Output</t>
  </si>
  <si>
    <t>Production qty</t>
  </si>
  <si>
    <t>Electricity expense</t>
  </si>
  <si>
    <t>Usage in units</t>
  </si>
  <si>
    <t>Cost of Production</t>
  </si>
  <si>
    <t>Sub Total</t>
  </si>
  <si>
    <t>Output stock calculation</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</si>
  <si>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</si>
  <si>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</si>
  <si>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</si>
  <si>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</si>
  <si>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</si>
  <si>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</si>
  <si>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</si>
  <si>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</si>
  <si>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</si>
  <si>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</si>
  <si>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</si>
  <si>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</si>
  <si>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2. assumed that 99% of production is sold for first 5 years, thereafter demand is almost 101% of output but we are able to serve market according to the availablility of output</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</si>
  <si>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</si>
  <si>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</si>
  <si>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</si>
  <si>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</si>
  <si>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</si>
  <si>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</si>
  <si>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</si>
  <si>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</si>
  <si>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</si>
  <si>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</si>
  <si>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</si>
  <si>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</si>
  <si>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</si>
  <si>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</si>
  <si>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</si>
  <si>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</si>
  <si>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</si>
  <si>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</si>
  <si>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</si>
  <si>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</si>
  <si>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</si>
  <si>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</si>
  <si>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</si>
  <si>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</si>
  <si>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</si>
  <si>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</si>
  <si>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</si>
  <si>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</si>
  <si>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</si>
  <si>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</si>
  <si>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</si>
  <si>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</si>
  <si>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</si>
  <si>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</si>
  <si>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</si>
  <si>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</si>
  <si>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</si>
  <si>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Cash flows'!A1</t>
  </si>
  <si>
    <t>iv.</t>
  </si>
  <si>
    <t>Labour/ helper</t>
  </si>
  <si>
    <t>Annual cost</t>
  </si>
  <si>
    <t>1. asssumed that 60 days of purchases are average creditors maintained</t>
  </si>
  <si>
    <t>1. Building</t>
  </si>
  <si>
    <t>Production days in a year</t>
  </si>
  <si>
    <t>days</t>
  </si>
  <si>
    <t>Ann 3'!A1</t>
  </si>
  <si>
    <t>Miscellaneous expense - semi fixed</t>
  </si>
  <si>
    <t>Miscellaneous expense</t>
  </si>
  <si>
    <t>Break-even point is the condition when an entity generate sufficient revenue that it can meet its fixed expense after deducting any variable expense, i.e., the point where contribution is equal to the fixed expense.</t>
  </si>
  <si>
    <t>Tractor - 35 hp</t>
  </si>
  <si>
    <t>Trailer</t>
  </si>
  <si>
    <t>Mould Board Plough</t>
  </si>
  <si>
    <t>Cultivator - 9 tyne</t>
  </si>
  <si>
    <t>Cage Wheel - 18"</t>
  </si>
  <si>
    <t>Disc harrow</t>
  </si>
  <si>
    <t>Seed Drill</t>
  </si>
  <si>
    <t>Accessories</t>
  </si>
  <si>
    <t>Transplanter</t>
  </si>
  <si>
    <t>Power Tiller - 13 HP</t>
  </si>
  <si>
    <t>Multi Crop Power thresher with electric motor</t>
  </si>
  <si>
    <t>Winnower</t>
  </si>
  <si>
    <t>Self Propelled Reaper - 3.5 HP</t>
  </si>
  <si>
    <t>Sprayer : Powered - 1 No.</t>
  </si>
  <si>
    <t>Sprayer : Manual - 2 No.</t>
  </si>
  <si>
    <t>Servicing tools</t>
  </si>
  <si>
    <t>Tools for repairing of machines</t>
  </si>
  <si>
    <t>A shed for keeping the tools and machinery - 500 sq. ft. @ Rs. 450 psf</t>
  </si>
  <si>
    <t>Traction units</t>
  </si>
  <si>
    <t>Power tillers</t>
  </si>
  <si>
    <t>Hours usage in a year</t>
  </si>
  <si>
    <t>Hours operation in a day</t>
  </si>
  <si>
    <t>hours</t>
  </si>
  <si>
    <t>Insurance cost @ 2% of purchase cost</t>
  </si>
  <si>
    <t>Fuel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</si>
  <si>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</si>
  <si>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</si>
  <si>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</si>
  <si>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</si>
  <si>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</si>
  <si>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</si>
  <si>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</si>
  <si>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</si>
  <si>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</si>
  <si>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</si>
  <si>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</si>
  <si>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</si>
  <si>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</si>
  <si>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</si>
  <si>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</si>
  <si>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</si>
  <si>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</si>
  <si>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</si>
  <si>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Electricity are semi-fixed cost. Rs. 90,000 pa is fixed, balance is variable at Rs. 12 per unit usage</t>
  </si>
  <si>
    <t>Asssumed that 30 days of purchases are average creditors maintained</t>
  </si>
  <si>
    <t>It is assumed that insuarance cost is 2% of purchase price and this will increase 2% annually</t>
  </si>
  <si>
    <t>Sales price is taken to be Rs. 410 per hour hire of tractor or power tiller, increaseing 2% annually</t>
  </si>
  <si>
    <t>1. Sales price is taken to be Rs. 410 per hour hire of tractor or power tiller, increaseing 2% annually</t>
  </si>
  <si>
    <t>It is assumed that 99% of production is sold for first 5 years, thereafter demand is almost 101% of output but we are able to serve market according to the availablility of output</t>
  </si>
  <si>
    <t>Running and Manintenance expense @5% of sales</t>
  </si>
  <si>
    <t>Rs. per hr</t>
  </si>
  <si>
    <t>Contribution per hr</t>
  </si>
  <si>
    <t>BEP in hrs</t>
  </si>
  <si>
    <t>Ann 6'!A1</t>
  </si>
  <si>
    <t>Add: benefits @ 15%</t>
  </si>
  <si>
    <t>For the first year of operation the break-even capacity comes at 21.1%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</si>
  <si>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1. Electricity are semi-fixed cost. Rs. 90,000 pa is fixed, balance is variable at Rs. 12 per unit usage</t>
  </si>
  <si>
    <t>2. Electricity usage in units is given below</t>
  </si>
  <si>
    <t>3. It is assumed that insuarance cost is 2% of purchase price and this will increase 2% annually</t>
  </si>
  <si>
    <t>Subsidy is available maximum 40% under Sub mission Agriculture Mechanism by Ministry of Agriculture and Welfare</t>
  </si>
  <si>
    <t>Amount of subsidy (in lakhs)</t>
  </si>
  <si>
    <t>In case of Capital subsidy, the amount vary depending on location of unit and scheme offered by the government at that time. Thus it is assumed here that 40% of cost of project (Rs. 19.44 lakhs)is sourced through back end subsidy.</t>
  </si>
  <si>
    <t>The amount Rs. 19.44 lakhs is sourced by Government subsidy. Since this is a back end subsidy, the amount is funded to bank at the end of repayment schedule.</t>
  </si>
  <si>
    <t>Other income - Loan repayment via subsidy</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</si>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</sst>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8">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2" fontId="0" fillId="0" borderId="0" xfId="2" applyNumberFormat="1" applyFont="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0" fontId="2" fillId="0" borderId="1" xfId="0" applyFont="1" applyBorder="1"/>
    <xf numFmtId="0" fontId="6" fillId="0" borderId="1" xfId="3" quotePrefix="1" applyBorder="1"/>
    <xf numFmtId="0" fontId="6" fillId="0" borderId="1" xfId="3" applyBorder="1"/>
    <xf numFmtId="168" fontId="0" fillId="0" borderId="0" xfId="0" applyNumberFormat="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Alignment="1">
      <alignment wrapText="1"/>
    </xf>
    <xf numFmtId="0" fontId="0" fillId="0" borderId="0" xfId="0" applyFill="1" applyBorder="1" applyAlignment="1">
      <alignment horizontal="left"/>
    </xf>
    <xf numFmtId="0" fontId="0" fillId="0" borderId="6" xfId="0" applyBorder="1" applyAlignment="1">
      <alignment horizontal="left" wrapText="1"/>
    </xf>
    <xf numFmtId="43" fontId="0" fillId="0" borderId="0" xfId="1" applyFont="1"/>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164" fontId="7" fillId="0" borderId="0" xfId="0" applyNumberFormat="1" applyFon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10" fontId="0" fillId="3" borderId="0" xfId="0" applyNumberFormat="1" applyFill="1"/>
    <xf numFmtId="0" fontId="0" fillId="3" borderId="0" xfId="0" applyFill="1" applyAlignment="1">
      <alignment horizontal="right"/>
    </xf>
    <xf numFmtId="43" fontId="0" fillId="0" borderId="11" xfId="1" applyFont="1" applyBorder="1"/>
    <xf numFmtId="43" fontId="0" fillId="0" borderId="10" xfId="1" applyFont="1" applyBorder="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7"/>
  <sheetViews>
    <sheetView tabSelected="1" workbookViewId="0">
      <selection activeCell="B5" sqref="B5"/>
    </sheetView>
  </sheetViews>
  <sheetFormatPr defaultRowHeight="14.5" x14ac:dyDescent="0.35"/>
  <cols>
    <col min="1" max="1" width="57.90625" bestFit="1" customWidth="1"/>
    <col min="2" max="2" width="14.453125" bestFit="1" customWidth="1"/>
  </cols>
  <sheetData>
    <row r="1" spans="1:2" x14ac:dyDescent="0.35">
      <c r="A1" s="22" t="s">
        <v>225</v>
      </c>
    </row>
    <row r="3" spans="1:2" x14ac:dyDescent="0.35">
      <c r="A3" s="87" t="s">
        <v>226</v>
      </c>
      <c r="B3" s="87" t="s">
        <v>227</v>
      </c>
    </row>
    <row r="4" spans="1:2" x14ac:dyDescent="0.35">
      <c r="A4" s="12" t="str">
        <f>'[1]Ann 1'!A3</f>
        <v>Annexure 1 - Estimated cost of the project</v>
      </c>
      <c r="B4" s="88" t="s">
        <v>228</v>
      </c>
    </row>
    <row r="5" spans="1:2" x14ac:dyDescent="0.35">
      <c r="A5" s="12" t="str">
        <f>'[1]Ann 2'!A1</f>
        <v>Annexure 2 - Means of Finance</v>
      </c>
      <c r="B5" s="88" t="s">
        <v>229</v>
      </c>
    </row>
    <row r="6" spans="1:2" x14ac:dyDescent="0.35">
      <c r="A6" s="12" t="str">
        <f>'Ann 3'!A1</f>
        <v>Annexure 3 - Complete Estimate of Civil and Plant and Machinery</v>
      </c>
      <c r="B6" s="88" t="s">
        <v>251</v>
      </c>
    </row>
    <row r="7" spans="1:2" x14ac:dyDescent="0.35">
      <c r="A7" s="12" t="str">
        <f>'[1]Ann 4'!A1</f>
        <v>Annexure 4 - Estimated Cost of Production</v>
      </c>
      <c r="B7" s="88" t="s">
        <v>230</v>
      </c>
    </row>
    <row r="8" spans="1:2" x14ac:dyDescent="0.35">
      <c r="A8" s="12" t="str">
        <f>'[1]Ann 5'!A1</f>
        <v>Annexure 5- Projected balance sheet</v>
      </c>
      <c r="B8" s="88" t="s">
        <v>231</v>
      </c>
    </row>
    <row r="9" spans="1:2" x14ac:dyDescent="0.35">
      <c r="A9" s="12" t="str">
        <f>'Ann 6'!A1</f>
        <v>Annexure 6 - requirement of Power and Fuel</v>
      </c>
      <c r="B9" s="88" t="s">
        <v>308</v>
      </c>
    </row>
    <row r="10" spans="1:2" x14ac:dyDescent="0.35">
      <c r="A10" s="12" t="str">
        <f>'Ann 8'!A1</f>
        <v>Annexure 8 - Details of Mnpower</v>
      </c>
      <c r="B10" s="88" t="s">
        <v>232</v>
      </c>
    </row>
    <row r="11" spans="1:2" x14ac:dyDescent="0.35">
      <c r="A11" s="12" t="str">
        <f>'Ann 9'!A1</f>
        <v>Annexure 9 - Computation of Depreciation</v>
      </c>
      <c r="B11" s="88" t="s">
        <v>233</v>
      </c>
    </row>
    <row r="12" spans="1:2" x14ac:dyDescent="0.35">
      <c r="A12" s="12" t="str">
        <f>'Ann 10'!A1</f>
        <v>Annexure 10 - Calculation of Income tax</v>
      </c>
      <c r="B12" s="88" t="s">
        <v>234</v>
      </c>
    </row>
    <row r="13" spans="1:2" x14ac:dyDescent="0.35">
      <c r="A13" s="12" t="str">
        <f>'[1]Ann 11'!A1</f>
        <v>Annexure 11- Break even analysis (At maximum capacity utilization)</v>
      </c>
      <c r="B13" s="88" t="s">
        <v>235</v>
      </c>
    </row>
    <row r="14" spans="1:2" x14ac:dyDescent="0.35">
      <c r="A14" s="12" t="str">
        <f>'Ann 13'!A1</f>
        <v>Annexure 13 - Repayment schedule</v>
      </c>
      <c r="B14" s="88" t="s">
        <v>236</v>
      </c>
    </row>
    <row r="15" spans="1:2" x14ac:dyDescent="0.35">
      <c r="A15" s="12" t="str">
        <f>[1]Assumptions!B1</f>
        <v>Assumptions</v>
      </c>
      <c r="B15" s="89" t="s">
        <v>237</v>
      </c>
    </row>
    <row r="16" spans="1:2" x14ac:dyDescent="0.35">
      <c r="A16" s="12" t="str">
        <f>'Cash flows'!A1</f>
        <v>Cash flow statement</v>
      </c>
      <c r="B16" s="88" t="s">
        <v>243</v>
      </c>
    </row>
    <row r="17" spans="1:2" x14ac:dyDescent="0.35">
      <c r="A17" s="12" t="str">
        <f>[1]Budgets!A1</f>
        <v>Sales Budget</v>
      </c>
      <c r="B17" s="89" t="s">
        <v>238</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10" location="'Ann 8'!A1" display="'Ann 8'!A1" xr:uid="{4BFF2D8E-3B2F-47B1-821E-2A9D5F3C599D}"/>
    <hyperlink ref="B11" location="'Ann 9'!A1" display="'Ann 9'!A1" xr:uid="{E91052E2-C8F3-4E24-802C-38C31EA75505}"/>
    <hyperlink ref="B12" location="'Ann 10'!A1" display="'Ann 10'!A1" xr:uid="{6A4B47E0-EA66-439F-8C5A-E0DF1C723C34}"/>
    <hyperlink ref="B13" location="'Ann 11'!A1" display="'Ann 11'!A1" xr:uid="{91648EFB-F5F2-42E9-8853-705ACD4F62EF}"/>
    <hyperlink ref="B14" location="'Ann 13'!A1" display="'Ann 13'!A1" xr:uid="{D748CAF8-9377-4D17-A5F2-F1A083E6D389}"/>
    <hyperlink ref="B15" location="Assumptions!A1" display="Assumptions!A1" xr:uid="{E978F649-0532-497D-92AA-EF316AAFA8E7}"/>
    <hyperlink ref="B17" location="Budgets!A1" display="Budgets!A1" xr:uid="{4CD23AF4-AE8A-40D8-A5ED-3F33524C9974}"/>
    <hyperlink ref="B16" location="'Cash flows'!A1" display="'Cash flows'!A1" xr:uid="{718213C1-E053-4B01-87D5-A7B478363B5A}"/>
    <hyperlink ref="B6" location="'Ann 3'!A1" display="'Ann 3'!A1" xr:uid="{103D0423-931A-4127-89EA-F0D3EE7C4F91}"/>
    <hyperlink ref="B9" location="'Ann 6'!A1" display="'Ann 6'!A1" xr:uid="{875DC53B-61BE-45FC-A341-C80974325C7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111</v>
      </c>
    </row>
    <row r="3" spans="1:10" x14ac:dyDescent="0.35">
      <c r="A3" s="3" t="s">
        <v>112</v>
      </c>
    </row>
    <row r="5" spans="1:10" x14ac:dyDescent="0.35">
      <c r="A5" s="109" t="s">
        <v>3</v>
      </c>
      <c r="B5" s="109" t="s">
        <v>48</v>
      </c>
      <c r="C5" s="109"/>
      <c r="D5" s="109"/>
      <c r="E5" s="109"/>
      <c r="F5" s="109"/>
      <c r="G5" s="109"/>
      <c r="H5" s="109"/>
      <c r="I5" s="109"/>
      <c r="J5" s="109"/>
    </row>
    <row r="6" spans="1:10" x14ac:dyDescent="0.35">
      <c r="A6" s="109"/>
      <c r="B6" s="34" t="s">
        <v>39</v>
      </c>
      <c r="C6" s="34" t="s">
        <v>40</v>
      </c>
      <c r="D6" s="34" t="s">
        <v>41</v>
      </c>
      <c r="E6" s="34" t="s">
        <v>42</v>
      </c>
      <c r="F6" s="34" t="s">
        <v>43</v>
      </c>
      <c r="G6" s="34" t="s">
        <v>44</v>
      </c>
      <c r="H6" s="34" t="s">
        <v>45</v>
      </c>
      <c r="I6" s="34" t="s">
        <v>46</v>
      </c>
      <c r="J6" s="34" t="s">
        <v>47</v>
      </c>
    </row>
    <row r="7" spans="1:10" x14ac:dyDescent="0.35">
      <c r="A7" s="12" t="s">
        <v>113</v>
      </c>
      <c r="B7" s="30">
        <f>'Ann 4'!C27</f>
        <v>3228582.9999999981</v>
      </c>
      <c r="C7" s="30">
        <f>'Ann 4'!D27</f>
        <v>2876195.9999999981</v>
      </c>
      <c r="D7" s="30">
        <f>'Ann 4'!E27</f>
        <v>2596603.9199999981</v>
      </c>
      <c r="E7" s="30">
        <f>'Ann 4'!F27</f>
        <v>2311766.0567999985</v>
      </c>
      <c r="F7" s="30">
        <f>'Ann 4'!G27</f>
        <v>2056904.9248399977</v>
      </c>
      <c r="G7" s="30">
        <f>'Ann 4'!H27</f>
        <v>1749951.2909050379</v>
      </c>
      <c r="H7" s="30">
        <f>'Ann 4'!I27</f>
        <v>1405850.0903079733</v>
      </c>
      <c r="I7" s="30">
        <f>'Ann 4'!J27</f>
        <v>1468129.6520640552</v>
      </c>
      <c r="J7" s="30">
        <f>'Ann 4'!K27</f>
        <v>1523292.1242216341</v>
      </c>
    </row>
    <row r="8" spans="1:10" x14ac:dyDescent="0.35">
      <c r="A8" s="12" t="s">
        <v>114</v>
      </c>
      <c r="B8" s="30">
        <v>0</v>
      </c>
      <c r="C8" s="30">
        <v>0</v>
      </c>
      <c r="D8" s="30">
        <v>0</v>
      </c>
      <c r="E8" s="30">
        <v>0</v>
      </c>
      <c r="F8" s="30">
        <v>0</v>
      </c>
      <c r="G8" s="30">
        <v>0</v>
      </c>
      <c r="H8" s="30">
        <v>0</v>
      </c>
      <c r="I8" s="30">
        <v>0</v>
      </c>
      <c r="J8" s="30">
        <v>0</v>
      </c>
    </row>
    <row r="9" spans="1:10" x14ac:dyDescent="0.35">
      <c r="A9" s="12" t="s">
        <v>115</v>
      </c>
      <c r="B9" s="30">
        <f>B7+B8</f>
        <v>3228582.9999999981</v>
      </c>
      <c r="C9" s="30">
        <f t="shared" ref="C9:J9" si="0">C7+C8</f>
        <v>2876195.9999999981</v>
      </c>
      <c r="D9" s="30">
        <f t="shared" si="0"/>
        <v>2596603.9199999981</v>
      </c>
      <c r="E9" s="30">
        <f t="shared" si="0"/>
        <v>2311766.0567999985</v>
      </c>
      <c r="F9" s="30">
        <f t="shared" si="0"/>
        <v>2056904.9248399977</v>
      </c>
      <c r="G9" s="30">
        <f t="shared" si="0"/>
        <v>1749951.2909050379</v>
      </c>
      <c r="H9" s="30">
        <f t="shared" si="0"/>
        <v>1405850.0903079733</v>
      </c>
      <c r="I9" s="30">
        <f t="shared" si="0"/>
        <v>1468129.6520640552</v>
      </c>
      <c r="J9" s="30">
        <f t="shared" si="0"/>
        <v>1523292.1242216341</v>
      </c>
    </row>
    <row r="10" spans="1:10" x14ac:dyDescent="0.35">
      <c r="A10" s="12" t="s">
        <v>116</v>
      </c>
      <c r="B10" s="30">
        <f>SUM('Ann 9'!C12:E12)</f>
        <v>717750</v>
      </c>
      <c r="C10" s="30">
        <f>SUM('Ann 9'!C13:E13)</f>
        <v>611212.5</v>
      </c>
      <c r="D10" s="30">
        <f>SUM('Ann 9'!C14:E14)</f>
        <v>520543.125</v>
      </c>
      <c r="E10" s="30">
        <f>SUM('Ann 9'!C15:E15)</f>
        <v>443372.90625</v>
      </c>
      <c r="F10" s="30">
        <f>SUM('Ann 9'!C16:E16)</f>
        <v>377687.09531249997</v>
      </c>
      <c r="G10" s="30">
        <f>SUM('Ann 9'!C17:E17)</f>
        <v>321772.14351562504</v>
      </c>
      <c r="H10" s="30">
        <f>SUM('Ann 9'!C18:E18)</f>
        <v>274170.62323828123</v>
      </c>
      <c r="I10" s="30">
        <f>SUM('Ann 9'!C19:E19)</f>
        <v>233642.90087753907</v>
      </c>
      <c r="J10" s="30">
        <f>SUM('Ann 9'!C20:E20)</f>
        <v>199134.54975840819</v>
      </c>
    </row>
    <row r="11" spans="1:10" x14ac:dyDescent="0.35">
      <c r="A11" s="12" t="s">
        <v>115</v>
      </c>
      <c r="B11" s="30">
        <f>B9-B10</f>
        <v>2510832.9999999981</v>
      </c>
      <c r="C11" s="30">
        <f t="shared" ref="C11:J11" si="1">C9-C10</f>
        <v>2264983.4999999981</v>
      </c>
      <c r="D11" s="30">
        <f t="shared" si="1"/>
        <v>2076060.7949999981</v>
      </c>
      <c r="E11" s="30">
        <f t="shared" si="1"/>
        <v>1868393.1505499985</v>
      </c>
      <c r="F11" s="30">
        <f t="shared" si="1"/>
        <v>1679217.8295274978</v>
      </c>
      <c r="G11" s="30">
        <f t="shared" si="1"/>
        <v>1428179.1473894129</v>
      </c>
      <c r="H11" s="30">
        <f t="shared" si="1"/>
        <v>1131679.467069692</v>
      </c>
      <c r="I11" s="30">
        <f t="shared" si="1"/>
        <v>1234486.7511865161</v>
      </c>
      <c r="J11" s="30">
        <f t="shared" si="1"/>
        <v>1324157.5744632259</v>
      </c>
    </row>
    <row r="12" spans="1:10" x14ac:dyDescent="0.35">
      <c r="A12" s="12" t="s">
        <v>117</v>
      </c>
      <c r="B12" s="54">
        <v>0</v>
      </c>
      <c r="C12" s="54">
        <v>0</v>
      </c>
      <c r="D12" s="54">
        <v>0</v>
      </c>
      <c r="E12" s="54">
        <v>0</v>
      </c>
      <c r="F12" s="54">
        <v>0</v>
      </c>
      <c r="G12" s="54">
        <v>0</v>
      </c>
      <c r="H12" s="54">
        <v>0</v>
      </c>
      <c r="I12" s="54">
        <v>0</v>
      </c>
      <c r="J12" s="54">
        <v>0</v>
      </c>
    </row>
    <row r="13" spans="1:10" x14ac:dyDescent="0.35">
      <c r="A13" s="12" t="s">
        <v>118</v>
      </c>
      <c r="B13" s="40">
        <f>B11</f>
        <v>2510832.9999999981</v>
      </c>
      <c r="C13" s="40">
        <f t="shared" ref="C13:J13" si="2">C11</f>
        <v>2264983.4999999981</v>
      </c>
      <c r="D13" s="40">
        <f t="shared" si="2"/>
        <v>2076060.7949999981</v>
      </c>
      <c r="E13" s="40">
        <f t="shared" si="2"/>
        <v>1868393.1505499985</v>
      </c>
      <c r="F13" s="40">
        <f t="shared" si="2"/>
        <v>1679217.8295274978</v>
      </c>
      <c r="G13" s="40">
        <f t="shared" si="2"/>
        <v>1428179.1473894129</v>
      </c>
      <c r="H13" s="40">
        <f t="shared" si="2"/>
        <v>1131679.467069692</v>
      </c>
      <c r="I13" s="40">
        <f t="shared" si="2"/>
        <v>1234486.7511865161</v>
      </c>
      <c r="J13" s="40">
        <f t="shared" si="2"/>
        <v>1324157.5744632259</v>
      </c>
    </row>
    <row r="14" spans="1:10" x14ac:dyDescent="0.35">
      <c r="A14" s="12" t="s">
        <v>119</v>
      </c>
      <c r="B14" s="40">
        <f>B13*30%</f>
        <v>753249.89999999944</v>
      </c>
      <c r="C14" s="40">
        <f t="shared" ref="C14:J14" si="3">C13*30%</f>
        <v>679495.04999999946</v>
      </c>
      <c r="D14" s="40">
        <f t="shared" si="3"/>
        <v>622818.2384999994</v>
      </c>
      <c r="E14" s="40">
        <f t="shared" si="3"/>
        <v>560517.94516499958</v>
      </c>
      <c r="F14" s="40">
        <f t="shared" si="3"/>
        <v>503765.34885824932</v>
      </c>
      <c r="G14" s="40">
        <f t="shared" si="3"/>
        <v>428453.74421682383</v>
      </c>
      <c r="H14" s="40">
        <f t="shared" si="3"/>
        <v>339503.84012090758</v>
      </c>
      <c r="I14" s="40">
        <f t="shared" si="3"/>
        <v>370346.02535595483</v>
      </c>
      <c r="J14" s="40">
        <f t="shared" si="3"/>
        <v>397247.27233896777</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H29"/>
  <sheetViews>
    <sheetView topLeftCell="A13" workbookViewId="0">
      <selection activeCell="D22" sqref="D22"/>
    </sheetView>
  </sheetViews>
  <sheetFormatPr defaultRowHeight="14.5" x14ac:dyDescent="0.35"/>
  <cols>
    <col min="2" max="2" width="23.54296875" bestFit="1" customWidth="1"/>
    <col min="4" max="4" width="14.6328125" bestFit="1" customWidth="1"/>
    <col min="5" max="5" width="13.54296875" bestFit="1" customWidth="1"/>
    <col min="6" max="6" width="13.6328125" bestFit="1" customWidth="1"/>
    <col min="16" max="16" width="13.6328125" bestFit="1" customWidth="1"/>
    <col min="17" max="17" width="12.54296875" bestFit="1" customWidth="1"/>
  </cols>
  <sheetData>
    <row r="1" spans="1:8" x14ac:dyDescent="0.35">
      <c r="A1" s="22" t="s">
        <v>71</v>
      </c>
    </row>
    <row r="3" spans="1:8" x14ac:dyDescent="0.35">
      <c r="A3" s="3" t="s">
        <v>72</v>
      </c>
    </row>
    <row r="5" spans="1:8" x14ac:dyDescent="0.35">
      <c r="B5" t="s">
        <v>50</v>
      </c>
      <c r="F5" s="15">
        <f>'Ann 4'!C19/70%</f>
        <v>18450000</v>
      </c>
    </row>
    <row r="6" spans="1:8" x14ac:dyDescent="0.35">
      <c r="B6" t="s">
        <v>73</v>
      </c>
    </row>
    <row r="7" spans="1:8" x14ac:dyDescent="0.35">
      <c r="B7" s="23" t="s">
        <v>74</v>
      </c>
      <c r="E7" s="16">
        <f>F5*5%</f>
        <v>922500</v>
      </c>
    </row>
    <row r="8" spans="1:8" x14ac:dyDescent="0.35">
      <c r="B8" s="23" t="s">
        <v>75</v>
      </c>
      <c r="E8" s="16">
        <v>0</v>
      </c>
      <c r="F8" s="16"/>
    </row>
    <row r="9" spans="1:8" x14ac:dyDescent="0.35">
      <c r="B9" s="23" t="s">
        <v>79</v>
      </c>
      <c r="E9" s="16">
        <f>90000+'Ann 4'!K39</f>
        <v>123502.39101562501</v>
      </c>
      <c r="F9" s="16">
        <f>SUM(E7:E9)</f>
        <v>1046002.391015625</v>
      </c>
      <c r="H9" s="24"/>
    </row>
    <row r="10" spans="1:8" x14ac:dyDescent="0.35">
      <c r="B10" t="s">
        <v>76</v>
      </c>
      <c r="F10" s="16">
        <f>F5-F9</f>
        <v>17403997.608984374</v>
      </c>
    </row>
    <row r="11" spans="1:8" x14ac:dyDescent="0.35">
      <c r="B11" t="s">
        <v>77</v>
      </c>
    </row>
    <row r="12" spans="1:8" x14ac:dyDescent="0.35">
      <c r="B12" t="s">
        <v>78</v>
      </c>
      <c r="F12" s="16">
        <f>'Ann 4'!C14</f>
        <v>2456400</v>
      </c>
    </row>
    <row r="13" spans="1:8" x14ac:dyDescent="0.35">
      <c r="B13" t="s">
        <v>80</v>
      </c>
      <c r="F13" s="16">
        <f>'Ann 9'!F12</f>
        <v>717750</v>
      </c>
    </row>
    <row r="14" spans="1:8" x14ac:dyDescent="0.35">
      <c r="B14" t="s">
        <v>253</v>
      </c>
      <c r="F14" s="16">
        <v>200000</v>
      </c>
    </row>
    <row r="15" spans="1:8" x14ac:dyDescent="0.35">
      <c r="B15" t="s">
        <v>221</v>
      </c>
      <c r="F15" s="16">
        <f>SUM('Ann 13'!E10:E13)*100000</f>
        <v>259917</v>
      </c>
    </row>
    <row r="16" spans="1:8" x14ac:dyDescent="0.35">
      <c r="B16" t="s">
        <v>81</v>
      </c>
      <c r="F16" s="16">
        <f>SUM(F12:F15)</f>
        <v>3634067</v>
      </c>
    </row>
    <row r="18" spans="1:6" x14ac:dyDescent="0.35">
      <c r="D18" t="s">
        <v>305</v>
      </c>
    </row>
    <row r="19" spans="1:6" x14ac:dyDescent="0.35">
      <c r="B19" t="s">
        <v>85</v>
      </c>
      <c r="D19">
        <f>Budgets!C20</f>
        <v>410</v>
      </c>
    </row>
    <row r="20" spans="1:6" x14ac:dyDescent="0.35">
      <c r="B20" s="23" t="s">
        <v>84</v>
      </c>
      <c r="D20">
        <f>D19*5%</f>
        <v>20.5</v>
      </c>
    </row>
    <row r="21" spans="1:6" x14ac:dyDescent="0.35">
      <c r="B21" s="23" t="s">
        <v>83</v>
      </c>
      <c r="D21" s="90">
        <f>E8/Budgets!B20</f>
        <v>0</v>
      </c>
    </row>
    <row r="22" spans="1:6" x14ac:dyDescent="0.35">
      <c r="B22" t="s">
        <v>253</v>
      </c>
      <c r="D22">
        <f>D19*1%</f>
        <v>4.0999999999999996</v>
      </c>
    </row>
    <row r="23" spans="1:6" x14ac:dyDescent="0.35">
      <c r="B23" t="s">
        <v>82</v>
      </c>
      <c r="D23" s="90">
        <f>E9/Budgets!B20</f>
        <v>2.7444975781250003</v>
      </c>
    </row>
    <row r="24" spans="1:6" x14ac:dyDescent="0.35">
      <c r="B24" t="s">
        <v>306</v>
      </c>
      <c r="D24">
        <f>D19-SUM(D20:D23)</f>
        <v>382.65550242187498</v>
      </c>
    </row>
    <row r="25" spans="1:6" x14ac:dyDescent="0.35">
      <c r="B25" t="s">
        <v>307</v>
      </c>
      <c r="D25" s="82">
        <f>F16/D24</f>
        <v>9496.967839217079</v>
      </c>
    </row>
    <row r="26" spans="1:6" x14ac:dyDescent="0.35">
      <c r="B26" t="s">
        <v>220</v>
      </c>
      <c r="D26" s="42">
        <f>D25/Budgets!B20</f>
        <v>0.21104372976037952</v>
      </c>
    </row>
    <row r="27" spans="1:6" x14ac:dyDescent="0.35">
      <c r="D27" s="42"/>
    </row>
    <row r="28" spans="1:6" ht="49" customHeight="1" x14ac:dyDescent="0.35">
      <c r="A28" s="111" t="s">
        <v>254</v>
      </c>
      <c r="B28" s="111"/>
      <c r="C28" s="111"/>
      <c r="D28" s="111"/>
      <c r="E28" s="111"/>
      <c r="F28" s="111"/>
    </row>
    <row r="29" spans="1:6" ht="86.5" customHeight="1" x14ac:dyDescent="0.35">
      <c r="A29" s="111" t="s">
        <v>310</v>
      </c>
      <c r="B29" s="111"/>
      <c r="C29" s="111"/>
      <c r="D29" s="111"/>
      <c r="E29" s="111"/>
      <c r="F29" s="111"/>
    </row>
  </sheetData>
  <mergeCells count="2">
    <mergeCell ref="A28:F28"/>
    <mergeCell ref="A29:F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86</v>
      </c>
    </row>
    <row r="3" spans="1:11" x14ac:dyDescent="0.35">
      <c r="C3" s="112" t="s">
        <v>87</v>
      </c>
      <c r="D3" s="112"/>
      <c r="E3" s="112"/>
      <c r="F3" s="112"/>
      <c r="G3" s="112"/>
      <c r="H3" s="112"/>
      <c r="I3" s="112"/>
      <c r="J3" s="112"/>
      <c r="K3" s="112"/>
    </row>
    <row r="4" spans="1:11" x14ac:dyDescent="0.35">
      <c r="C4">
        <v>1</v>
      </c>
      <c r="D4">
        <v>2</v>
      </c>
      <c r="E4">
        <v>3</v>
      </c>
      <c r="F4">
        <v>4</v>
      </c>
      <c r="G4">
        <v>5</v>
      </c>
      <c r="H4">
        <v>6</v>
      </c>
      <c r="I4">
        <v>7</v>
      </c>
      <c r="J4">
        <v>8</v>
      </c>
      <c r="K4">
        <v>9</v>
      </c>
    </row>
    <row r="5" spans="1:11" x14ac:dyDescent="0.35">
      <c r="A5" t="s">
        <v>88</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89</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90</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topLeftCell="A30" workbookViewId="0">
      <selection activeCell="A41" sqref="A41:E41"/>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96</v>
      </c>
    </row>
    <row r="3" spans="1:7" x14ac:dyDescent="0.35">
      <c r="A3" s="3" t="s">
        <v>97</v>
      </c>
    </row>
    <row r="4" spans="1:7" x14ac:dyDescent="0.35">
      <c r="A4" t="s">
        <v>98</v>
      </c>
      <c r="D4" s="2">
        <f>'Ann 2'!C6</f>
        <v>43.74</v>
      </c>
    </row>
    <row r="5" spans="1:7" x14ac:dyDescent="0.35">
      <c r="A5" t="s">
        <v>315</v>
      </c>
      <c r="D5" s="2">
        <f>40%*'Ann 2'!C8</f>
        <v>19.440000000000001</v>
      </c>
    </row>
    <row r="6" spans="1:7" x14ac:dyDescent="0.35">
      <c r="A6" t="s">
        <v>99</v>
      </c>
      <c r="D6" s="114">
        <v>0.06</v>
      </c>
    </row>
    <row r="7" spans="1:7" x14ac:dyDescent="0.35">
      <c r="A7" t="s">
        <v>100</v>
      </c>
      <c r="D7" s="115" t="s">
        <v>161</v>
      </c>
    </row>
    <row r="9" spans="1:7" x14ac:dyDescent="0.35">
      <c r="A9" s="34" t="s">
        <v>70</v>
      </c>
      <c r="B9" s="34" t="s">
        <v>101</v>
      </c>
      <c r="C9" s="34" t="s">
        <v>102</v>
      </c>
      <c r="D9" s="34" t="s">
        <v>104</v>
      </c>
      <c r="E9" s="34" t="s">
        <v>103</v>
      </c>
    </row>
    <row r="10" spans="1:7" x14ac:dyDescent="0.35">
      <c r="A10" s="113">
        <v>1</v>
      </c>
      <c r="B10" s="12">
        <v>1</v>
      </c>
      <c r="C10" s="65">
        <f>$D$4</f>
        <v>43.74</v>
      </c>
      <c r="D10" s="12">
        <v>0</v>
      </c>
      <c r="E10" s="12">
        <f>C10*$D$6/4</f>
        <v>0.65610000000000002</v>
      </c>
    </row>
    <row r="11" spans="1:7" x14ac:dyDescent="0.35">
      <c r="A11" s="113"/>
      <c r="B11" s="12">
        <v>2</v>
      </c>
      <c r="C11" s="65">
        <f>$D$4</f>
        <v>43.74</v>
      </c>
      <c r="D11" s="12">
        <v>0</v>
      </c>
      <c r="E11" s="12">
        <f t="shared" ref="E11:E37" si="0">C11*$D$6/4</f>
        <v>0.65610000000000002</v>
      </c>
      <c r="G11" s="68"/>
    </row>
    <row r="12" spans="1:7" x14ac:dyDescent="0.35">
      <c r="A12" s="113"/>
      <c r="B12" s="12">
        <v>3</v>
      </c>
      <c r="C12" s="65">
        <f>$D$4</f>
        <v>43.74</v>
      </c>
      <c r="D12" s="12">
        <v>1.6819999999999999</v>
      </c>
      <c r="E12" s="12">
        <f t="shared" si="0"/>
        <v>0.65610000000000002</v>
      </c>
    </row>
    <row r="13" spans="1:7" x14ac:dyDescent="0.35">
      <c r="A13" s="113"/>
      <c r="B13" s="12">
        <v>4</v>
      </c>
      <c r="C13" s="12">
        <f t="shared" ref="C13:C18" si="1">C12-D12</f>
        <v>42.058</v>
      </c>
      <c r="D13" s="12">
        <f>D12</f>
        <v>1.6819999999999999</v>
      </c>
      <c r="E13" s="12">
        <f t="shared" si="0"/>
        <v>0.63086999999999993</v>
      </c>
    </row>
    <row r="14" spans="1:7" x14ac:dyDescent="0.35">
      <c r="A14" s="113">
        <v>2</v>
      </c>
      <c r="B14" s="12">
        <v>1</v>
      </c>
      <c r="C14" s="12">
        <f t="shared" si="1"/>
        <v>40.375999999999998</v>
      </c>
      <c r="D14" s="12">
        <f t="shared" ref="D14:D36" si="2">D13</f>
        <v>1.6819999999999999</v>
      </c>
      <c r="E14" s="12">
        <f t="shared" si="0"/>
        <v>0.60563999999999996</v>
      </c>
    </row>
    <row r="15" spans="1:7" x14ac:dyDescent="0.35">
      <c r="A15" s="113"/>
      <c r="B15" s="12">
        <v>2</v>
      </c>
      <c r="C15" s="12">
        <f t="shared" si="1"/>
        <v>38.693999999999996</v>
      </c>
      <c r="D15" s="12">
        <f t="shared" si="2"/>
        <v>1.6819999999999999</v>
      </c>
      <c r="E15" s="12">
        <f t="shared" si="0"/>
        <v>0.58040999999999987</v>
      </c>
    </row>
    <row r="16" spans="1:7" x14ac:dyDescent="0.35">
      <c r="A16" s="113"/>
      <c r="B16" s="12">
        <v>3</v>
      </c>
      <c r="C16" s="12">
        <f t="shared" si="1"/>
        <v>37.011999999999993</v>
      </c>
      <c r="D16" s="12">
        <f t="shared" si="2"/>
        <v>1.6819999999999999</v>
      </c>
      <c r="E16" s="12">
        <f t="shared" si="0"/>
        <v>0.5551799999999999</v>
      </c>
    </row>
    <row r="17" spans="1:5" x14ac:dyDescent="0.35">
      <c r="A17" s="113"/>
      <c r="B17" s="12">
        <v>4</v>
      </c>
      <c r="C17" s="12">
        <f t="shared" si="1"/>
        <v>35.329999999999991</v>
      </c>
      <c r="D17" s="12">
        <f t="shared" si="2"/>
        <v>1.6819999999999999</v>
      </c>
      <c r="E17" s="12">
        <f t="shared" si="0"/>
        <v>0.52994999999999981</v>
      </c>
    </row>
    <row r="18" spans="1:5" x14ac:dyDescent="0.35">
      <c r="A18" s="113">
        <v>3</v>
      </c>
      <c r="B18" s="12">
        <v>1</v>
      </c>
      <c r="C18" s="12">
        <f t="shared" si="1"/>
        <v>33.647999999999989</v>
      </c>
      <c r="D18" s="12">
        <f t="shared" si="2"/>
        <v>1.6819999999999999</v>
      </c>
      <c r="E18" s="12">
        <f t="shared" si="0"/>
        <v>0.50471999999999984</v>
      </c>
    </row>
    <row r="19" spans="1:5" x14ac:dyDescent="0.35">
      <c r="A19" s="113"/>
      <c r="B19" s="12">
        <v>2</v>
      </c>
      <c r="C19" s="12">
        <f t="shared" ref="C19:C37" si="3">C18-D18</f>
        <v>31.96599999999999</v>
      </c>
      <c r="D19" s="12">
        <f t="shared" si="2"/>
        <v>1.6819999999999999</v>
      </c>
      <c r="E19" s="12">
        <f t="shared" si="0"/>
        <v>0.47948999999999986</v>
      </c>
    </row>
    <row r="20" spans="1:5" x14ac:dyDescent="0.35">
      <c r="A20" s="113"/>
      <c r="B20" s="12">
        <v>3</v>
      </c>
      <c r="C20" s="12">
        <f t="shared" si="3"/>
        <v>30.283999999999992</v>
      </c>
      <c r="D20" s="12">
        <f t="shared" si="2"/>
        <v>1.6819999999999999</v>
      </c>
      <c r="E20" s="12">
        <f t="shared" si="0"/>
        <v>0.45425999999999989</v>
      </c>
    </row>
    <row r="21" spans="1:5" x14ac:dyDescent="0.35">
      <c r="A21" s="113"/>
      <c r="B21" s="12">
        <v>4</v>
      </c>
      <c r="C21" s="12">
        <f t="shared" si="3"/>
        <v>28.601999999999993</v>
      </c>
      <c r="D21" s="12">
        <f t="shared" si="2"/>
        <v>1.6819999999999999</v>
      </c>
      <c r="E21" s="12">
        <f t="shared" si="0"/>
        <v>0.42902999999999986</v>
      </c>
    </row>
    <row r="22" spans="1:5" x14ac:dyDescent="0.35">
      <c r="A22" s="113">
        <v>4</v>
      </c>
      <c r="B22" s="12">
        <v>1</v>
      </c>
      <c r="C22" s="12">
        <f t="shared" si="3"/>
        <v>26.919999999999995</v>
      </c>
      <c r="D22" s="12">
        <f t="shared" si="2"/>
        <v>1.6819999999999999</v>
      </c>
      <c r="E22" s="12">
        <f t="shared" si="0"/>
        <v>0.40379999999999988</v>
      </c>
    </row>
    <row r="23" spans="1:5" x14ac:dyDescent="0.35">
      <c r="A23" s="113"/>
      <c r="B23" s="12">
        <v>2</v>
      </c>
      <c r="C23" s="12">
        <f t="shared" si="3"/>
        <v>25.237999999999996</v>
      </c>
      <c r="D23" s="12">
        <f t="shared" si="2"/>
        <v>1.6819999999999999</v>
      </c>
      <c r="E23" s="12">
        <f t="shared" si="0"/>
        <v>0.37856999999999991</v>
      </c>
    </row>
    <row r="24" spans="1:5" x14ac:dyDescent="0.35">
      <c r="A24" s="113"/>
      <c r="B24" s="12">
        <v>3</v>
      </c>
      <c r="C24" s="12">
        <f t="shared" si="3"/>
        <v>23.555999999999997</v>
      </c>
      <c r="D24" s="12">
        <f t="shared" si="2"/>
        <v>1.6819999999999999</v>
      </c>
      <c r="E24" s="12">
        <f t="shared" si="0"/>
        <v>0.35333999999999993</v>
      </c>
    </row>
    <row r="25" spans="1:5" x14ac:dyDescent="0.35">
      <c r="A25" s="113"/>
      <c r="B25" s="12">
        <v>4</v>
      </c>
      <c r="C25" s="12">
        <f t="shared" si="3"/>
        <v>21.873999999999999</v>
      </c>
      <c r="D25" s="12">
        <f t="shared" si="2"/>
        <v>1.6819999999999999</v>
      </c>
      <c r="E25" s="12">
        <f t="shared" si="0"/>
        <v>0.32810999999999996</v>
      </c>
    </row>
    <row r="26" spans="1:5" x14ac:dyDescent="0.35">
      <c r="A26" s="113">
        <v>5</v>
      </c>
      <c r="B26" s="12">
        <v>1</v>
      </c>
      <c r="C26" s="12">
        <f t="shared" si="3"/>
        <v>20.192</v>
      </c>
      <c r="D26" s="12">
        <v>0.752</v>
      </c>
      <c r="E26" s="12">
        <f t="shared" si="0"/>
        <v>0.30287999999999998</v>
      </c>
    </row>
    <row r="27" spans="1:5" x14ac:dyDescent="0.35">
      <c r="A27" s="113"/>
      <c r="B27" s="12">
        <v>2</v>
      </c>
      <c r="C27" s="12">
        <f t="shared" si="3"/>
        <v>19.440000000000001</v>
      </c>
      <c r="D27" s="12">
        <v>0</v>
      </c>
      <c r="E27" s="12">
        <v>0</v>
      </c>
    </row>
    <row r="28" spans="1:5" x14ac:dyDescent="0.35">
      <c r="A28" s="113"/>
      <c r="B28" s="12">
        <v>3</v>
      </c>
      <c r="C28" s="12">
        <v>0</v>
      </c>
      <c r="D28" s="12">
        <f t="shared" si="2"/>
        <v>0</v>
      </c>
      <c r="E28" s="12">
        <f t="shared" si="0"/>
        <v>0</v>
      </c>
    </row>
    <row r="29" spans="1:5" x14ac:dyDescent="0.35">
      <c r="A29" s="113"/>
      <c r="B29" s="12">
        <v>4</v>
      </c>
      <c r="C29" s="12">
        <f t="shared" si="3"/>
        <v>0</v>
      </c>
      <c r="D29" s="12">
        <f t="shared" si="2"/>
        <v>0</v>
      </c>
      <c r="E29" s="12">
        <f t="shared" si="0"/>
        <v>0</v>
      </c>
    </row>
    <row r="30" spans="1:5" x14ac:dyDescent="0.35">
      <c r="A30" s="113">
        <v>6</v>
      </c>
      <c r="B30" s="12">
        <v>1</v>
      </c>
      <c r="C30" s="12">
        <f t="shared" si="3"/>
        <v>0</v>
      </c>
      <c r="D30" s="12">
        <f t="shared" si="2"/>
        <v>0</v>
      </c>
      <c r="E30" s="12">
        <f t="shared" si="0"/>
        <v>0</v>
      </c>
    </row>
    <row r="31" spans="1:5" x14ac:dyDescent="0.35">
      <c r="A31" s="113"/>
      <c r="B31" s="12">
        <v>2</v>
      </c>
      <c r="C31" s="12">
        <f t="shared" si="3"/>
        <v>0</v>
      </c>
      <c r="D31" s="12">
        <f t="shared" si="2"/>
        <v>0</v>
      </c>
      <c r="E31" s="12">
        <f t="shared" si="0"/>
        <v>0</v>
      </c>
    </row>
    <row r="32" spans="1:5" x14ac:dyDescent="0.35">
      <c r="A32" s="113"/>
      <c r="B32" s="12">
        <v>3</v>
      </c>
      <c r="C32" s="12">
        <f t="shared" si="3"/>
        <v>0</v>
      </c>
      <c r="D32" s="12">
        <f t="shared" si="2"/>
        <v>0</v>
      </c>
      <c r="E32" s="12">
        <f t="shared" si="0"/>
        <v>0</v>
      </c>
    </row>
    <row r="33" spans="1:5" x14ac:dyDescent="0.35">
      <c r="A33" s="113"/>
      <c r="B33" s="12">
        <v>4</v>
      </c>
      <c r="C33" s="12">
        <f t="shared" si="3"/>
        <v>0</v>
      </c>
      <c r="D33" s="12">
        <f t="shared" si="2"/>
        <v>0</v>
      </c>
      <c r="E33" s="12">
        <f t="shared" si="0"/>
        <v>0</v>
      </c>
    </row>
    <row r="34" spans="1:5" x14ac:dyDescent="0.35">
      <c r="A34" s="113">
        <v>7</v>
      </c>
      <c r="B34" s="12">
        <v>1</v>
      </c>
      <c r="C34" s="12">
        <f t="shared" si="3"/>
        <v>0</v>
      </c>
      <c r="D34" s="12">
        <f t="shared" si="2"/>
        <v>0</v>
      </c>
      <c r="E34" s="12">
        <f t="shared" si="0"/>
        <v>0</v>
      </c>
    </row>
    <row r="35" spans="1:5" x14ac:dyDescent="0.35">
      <c r="A35" s="113"/>
      <c r="B35" s="12">
        <v>2</v>
      </c>
      <c r="C35" s="12">
        <f t="shared" si="3"/>
        <v>0</v>
      </c>
      <c r="D35" s="12">
        <f t="shared" si="2"/>
        <v>0</v>
      </c>
      <c r="E35" s="12">
        <f t="shared" si="0"/>
        <v>0</v>
      </c>
    </row>
    <row r="36" spans="1:5" x14ac:dyDescent="0.35">
      <c r="A36" s="113"/>
      <c r="B36" s="12">
        <v>3</v>
      </c>
      <c r="C36" s="12">
        <f t="shared" si="3"/>
        <v>0</v>
      </c>
      <c r="D36" s="12">
        <f t="shared" si="2"/>
        <v>0</v>
      </c>
      <c r="E36" s="12">
        <f t="shared" si="0"/>
        <v>0</v>
      </c>
    </row>
    <row r="37" spans="1:5" x14ac:dyDescent="0.35">
      <c r="A37" s="113"/>
      <c r="B37" s="12">
        <v>4</v>
      </c>
      <c r="C37" s="12">
        <f t="shared" si="3"/>
        <v>0</v>
      </c>
      <c r="D37" s="65">
        <v>0</v>
      </c>
      <c r="E37" s="12">
        <f t="shared" si="0"/>
        <v>0</v>
      </c>
    </row>
    <row r="39" spans="1:5" ht="58" customHeight="1" x14ac:dyDescent="0.35">
      <c r="A39" s="111" t="s">
        <v>316</v>
      </c>
      <c r="B39" s="111"/>
      <c r="C39" s="111"/>
      <c r="D39" s="111"/>
      <c r="E39" s="111"/>
    </row>
    <row r="40" spans="1:5" ht="44" customHeight="1" x14ac:dyDescent="0.35">
      <c r="A40" s="111" t="s">
        <v>317</v>
      </c>
      <c r="B40" s="111"/>
      <c r="C40" s="111"/>
      <c r="D40" s="111"/>
      <c r="E40" s="111"/>
    </row>
    <row r="41" spans="1:5" ht="34.5" customHeight="1" x14ac:dyDescent="0.35">
      <c r="A41" s="111" t="s">
        <v>314</v>
      </c>
      <c r="B41" s="111"/>
      <c r="C41" s="111"/>
      <c r="D41" s="111"/>
      <c r="E41" s="111"/>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3"/>
  <sheetViews>
    <sheetView workbookViewId="0">
      <selection activeCell="B17" sqref="B17"/>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174</v>
      </c>
    </row>
    <row r="2" spans="1:10" x14ac:dyDescent="0.35">
      <c r="B2" s="112" t="s">
        <v>48</v>
      </c>
      <c r="C2" s="112"/>
      <c r="D2" s="112"/>
      <c r="E2" s="112"/>
      <c r="F2" s="112"/>
      <c r="G2" s="112"/>
      <c r="H2" s="112"/>
      <c r="I2" s="112"/>
      <c r="J2" s="112"/>
    </row>
    <row r="3" spans="1:10" x14ac:dyDescent="0.35">
      <c r="A3" s="12"/>
      <c r="B3" s="12" t="s">
        <v>39</v>
      </c>
      <c r="C3" s="12" t="s">
        <v>40</v>
      </c>
      <c r="D3" s="12" t="s">
        <v>41</v>
      </c>
      <c r="E3" s="12" t="s">
        <v>42</v>
      </c>
      <c r="F3" s="12" t="s">
        <v>43</v>
      </c>
      <c r="G3" s="12" t="s">
        <v>44</v>
      </c>
      <c r="H3" s="12" t="s">
        <v>45</v>
      </c>
      <c r="I3" s="12" t="s">
        <v>46</v>
      </c>
      <c r="J3" s="12" t="s">
        <v>47</v>
      </c>
    </row>
    <row r="4" spans="1:10" x14ac:dyDescent="0.35">
      <c r="A4" s="12" t="s">
        <v>175</v>
      </c>
      <c r="B4" s="73">
        <v>0.7</v>
      </c>
      <c r="C4" s="73">
        <v>0.75</v>
      </c>
      <c r="D4" s="73">
        <v>0.8</v>
      </c>
      <c r="E4" s="73">
        <v>0.85</v>
      </c>
      <c r="F4" s="73">
        <v>0.9</v>
      </c>
      <c r="G4" s="73">
        <v>0.95</v>
      </c>
      <c r="H4" s="73">
        <v>1</v>
      </c>
      <c r="I4" s="73">
        <v>1</v>
      </c>
      <c r="J4" s="73">
        <v>1</v>
      </c>
    </row>
    <row r="5" spans="1:10" x14ac:dyDescent="0.35">
      <c r="A5" s="12" t="s">
        <v>187</v>
      </c>
      <c r="B5" s="74">
        <f t="shared" ref="B5:J5" si="0">$B$20*B4</f>
        <v>31499.999999999996</v>
      </c>
      <c r="C5" s="74">
        <f t="shared" si="0"/>
        <v>33750</v>
      </c>
      <c r="D5" s="74">
        <f t="shared" si="0"/>
        <v>36000</v>
      </c>
      <c r="E5" s="74">
        <f t="shared" si="0"/>
        <v>38250</v>
      </c>
      <c r="F5" s="74">
        <f t="shared" si="0"/>
        <v>40500</v>
      </c>
      <c r="G5" s="74">
        <f t="shared" si="0"/>
        <v>42750</v>
      </c>
      <c r="H5" s="74">
        <f t="shared" si="0"/>
        <v>45000</v>
      </c>
      <c r="I5" s="74">
        <f t="shared" si="0"/>
        <v>45000</v>
      </c>
      <c r="J5" s="74">
        <f t="shared" si="0"/>
        <v>45000</v>
      </c>
    </row>
    <row r="6" spans="1:10" x14ac:dyDescent="0.35">
      <c r="A6" s="12" t="s">
        <v>176</v>
      </c>
      <c r="B6" s="74">
        <f>B5*99%</f>
        <v>31184.999999999996</v>
      </c>
      <c r="C6" s="74">
        <f t="shared" ref="C6:E6" si="1">C5*99%</f>
        <v>33412.5</v>
      </c>
      <c r="D6" s="74">
        <f t="shared" si="1"/>
        <v>35640</v>
      </c>
      <c r="E6" s="74">
        <f t="shared" si="1"/>
        <v>37867.5</v>
      </c>
      <c r="F6" s="74">
        <f>MIN(F5*101%,F26)</f>
        <v>40905</v>
      </c>
      <c r="G6" s="74">
        <f>MIN(G5*101%,G26)</f>
        <v>43177.5</v>
      </c>
      <c r="H6" s="74">
        <f>MIN(H5*101%,H26)</f>
        <v>45450</v>
      </c>
      <c r="I6" s="74">
        <f>MIN(I5*101%,I26)</f>
        <v>45112.5</v>
      </c>
      <c r="J6" s="74">
        <f>MIN(J5*101%,J26)</f>
        <v>45000</v>
      </c>
    </row>
    <row r="7" spans="1:10" x14ac:dyDescent="0.35">
      <c r="A7" s="12" t="s">
        <v>50</v>
      </c>
      <c r="B7" s="74">
        <f>B5*C20</f>
        <v>12914999.999999998</v>
      </c>
      <c r="C7" s="74">
        <f>B7*1.02</f>
        <v>13173299.999999998</v>
      </c>
      <c r="D7" s="74">
        <f t="shared" ref="D7:J7" si="2">C7*1.02</f>
        <v>13436765.999999998</v>
      </c>
      <c r="E7" s="74">
        <f t="shared" si="2"/>
        <v>13705501.319999998</v>
      </c>
      <c r="F7" s="74">
        <f t="shared" si="2"/>
        <v>13979611.346399998</v>
      </c>
      <c r="G7" s="74">
        <f t="shared" si="2"/>
        <v>14259203.573327998</v>
      </c>
      <c r="H7" s="74">
        <f t="shared" si="2"/>
        <v>14544387.644794557</v>
      </c>
      <c r="I7" s="74">
        <f t="shared" si="2"/>
        <v>14835275.397690449</v>
      </c>
      <c r="J7" s="74">
        <f t="shared" si="2"/>
        <v>15131980.905644258</v>
      </c>
    </row>
    <row r="8" spans="1:10" x14ac:dyDescent="0.35">
      <c r="B8" s="2"/>
      <c r="C8" s="2"/>
      <c r="D8" s="2"/>
      <c r="E8" s="2"/>
      <c r="F8" s="2"/>
      <c r="G8" s="2"/>
      <c r="H8" s="2"/>
      <c r="I8" s="2"/>
      <c r="J8" s="2"/>
    </row>
    <row r="9" spans="1:10" x14ac:dyDescent="0.35">
      <c r="B9" s="2"/>
      <c r="C9" s="2"/>
      <c r="D9" s="2"/>
      <c r="E9" s="2"/>
      <c r="F9" s="2"/>
      <c r="G9" s="2"/>
      <c r="H9" s="2"/>
      <c r="I9" s="2"/>
      <c r="J9" s="2"/>
    </row>
    <row r="11" spans="1:10" x14ac:dyDescent="0.35">
      <c r="A11" s="22" t="s">
        <v>177</v>
      </c>
    </row>
    <row r="13" spans="1:10" x14ac:dyDescent="0.35">
      <c r="A13" t="s">
        <v>273</v>
      </c>
      <c r="B13">
        <v>5</v>
      </c>
    </row>
    <row r="14" spans="1:10" x14ac:dyDescent="0.35">
      <c r="A14" t="s">
        <v>274</v>
      </c>
      <c r="B14">
        <v>10</v>
      </c>
    </row>
    <row r="15" spans="1:10" x14ac:dyDescent="0.35">
      <c r="A15" t="s">
        <v>276</v>
      </c>
      <c r="B15">
        <v>10</v>
      </c>
      <c r="C15" t="s">
        <v>277</v>
      </c>
    </row>
    <row r="16" spans="1:10" x14ac:dyDescent="0.35">
      <c r="A16" t="s">
        <v>249</v>
      </c>
      <c r="B16">
        <v>300</v>
      </c>
      <c r="C16" t="s">
        <v>250</v>
      </c>
    </row>
    <row r="17" spans="1:11" x14ac:dyDescent="0.35">
      <c r="A17" t="s">
        <v>275</v>
      </c>
      <c r="B17" s="15">
        <f>(B13+B14)*B15*B16</f>
        <v>45000</v>
      </c>
      <c r="C17" t="s">
        <v>277</v>
      </c>
    </row>
    <row r="19" spans="1:11" s="71" customFormat="1" ht="29" x14ac:dyDescent="0.35">
      <c r="A19" s="69" t="s">
        <v>178</v>
      </c>
      <c r="B19" s="70" t="s">
        <v>179</v>
      </c>
      <c r="C19" s="70" t="s">
        <v>180</v>
      </c>
    </row>
    <row r="20" spans="1:11" s="71" customFormat="1" x14ac:dyDescent="0.35">
      <c r="A20" s="69" t="s">
        <v>186</v>
      </c>
      <c r="B20" s="75">
        <f>B17</f>
        <v>45000</v>
      </c>
      <c r="C20" s="76">
        <v>410</v>
      </c>
      <c r="D20" s="72"/>
    </row>
    <row r="22" spans="1:11" x14ac:dyDescent="0.35">
      <c r="A22" s="22" t="s">
        <v>192</v>
      </c>
      <c r="C22" s="112" t="s">
        <v>48</v>
      </c>
      <c r="D22" s="112"/>
      <c r="E22" s="112"/>
      <c r="F22" s="112"/>
      <c r="G22" s="112"/>
      <c r="H22" s="112"/>
      <c r="I22" s="112"/>
      <c r="J22" s="112"/>
      <c r="K22" s="112"/>
    </row>
    <row r="23" spans="1:11" x14ac:dyDescent="0.35">
      <c r="B23" t="s">
        <v>39</v>
      </c>
      <c r="C23" t="s">
        <v>40</v>
      </c>
      <c r="D23" t="s">
        <v>41</v>
      </c>
      <c r="E23" t="s">
        <v>42</v>
      </c>
      <c r="F23" t="s">
        <v>43</v>
      </c>
      <c r="G23" t="s">
        <v>44</v>
      </c>
      <c r="H23" t="s">
        <v>45</v>
      </c>
      <c r="I23" t="s">
        <v>46</v>
      </c>
      <c r="J23" t="s">
        <v>47</v>
      </c>
    </row>
    <row r="24" spans="1:11" x14ac:dyDescent="0.35">
      <c r="A24" t="s">
        <v>181</v>
      </c>
      <c r="B24" s="16">
        <v>0</v>
      </c>
      <c r="C24" s="16">
        <f>B28</f>
        <v>315</v>
      </c>
      <c r="D24" s="16">
        <f t="shared" ref="D24:J24" si="3">C28</f>
        <v>652.5</v>
      </c>
      <c r="E24" s="16">
        <f t="shared" si="3"/>
        <v>1012.5</v>
      </c>
      <c r="F24" s="16">
        <f t="shared" si="3"/>
        <v>1395</v>
      </c>
      <c r="G24" s="16">
        <f t="shared" si="3"/>
        <v>990</v>
      </c>
      <c r="H24" s="16">
        <f t="shared" si="3"/>
        <v>562.5</v>
      </c>
      <c r="I24" s="16">
        <f t="shared" si="3"/>
        <v>112.5</v>
      </c>
      <c r="J24" s="16">
        <f t="shared" si="3"/>
        <v>0</v>
      </c>
    </row>
    <row r="25" spans="1:11" x14ac:dyDescent="0.35">
      <c r="A25" t="s">
        <v>182</v>
      </c>
      <c r="B25" s="16">
        <f t="shared" ref="B25:J25" si="4">B5</f>
        <v>31499.999999999996</v>
      </c>
      <c r="C25" s="16">
        <f t="shared" si="4"/>
        <v>33750</v>
      </c>
      <c r="D25" s="16">
        <f t="shared" si="4"/>
        <v>36000</v>
      </c>
      <c r="E25" s="16">
        <f t="shared" si="4"/>
        <v>38250</v>
      </c>
      <c r="F25" s="16">
        <f t="shared" si="4"/>
        <v>40500</v>
      </c>
      <c r="G25" s="16">
        <f t="shared" si="4"/>
        <v>42750</v>
      </c>
      <c r="H25" s="16">
        <f t="shared" si="4"/>
        <v>45000</v>
      </c>
      <c r="I25" s="16">
        <f t="shared" si="4"/>
        <v>45000</v>
      </c>
      <c r="J25" s="16">
        <f t="shared" si="4"/>
        <v>45000</v>
      </c>
    </row>
    <row r="26" spans="1:11" x14ac:dyDescent="0.35">
      <c r="A26" t="s">
        <v>204</v>
      </c>
      <c r="B26" s="16">
        <f>SUM(B24:B25)</f>
        <v>31499.999999999996</v>
      </c>
      <c r="C26" s="16">
        <f t="shared" ref="C26:J26" si="5">SUM(C24:C25)</f>
        <v>34065</v>
      </c>
      <c r="D26" s="16">
        <f t="shared" si="5"/>
        <v>36652.5</v>
      </c>
      <c r="E26" s="16">
        <f t="shared" si="5"/>
        <v>39262.5</v>
      </c>
      <c r="F26" s="16">
        <f t="shared" si="5"/>
        <v>41895</v>
      </c>
      <c r="G26" s="16">
        <f t="shared" si="5"/>
        <v>43740</v>
      </c>
      <c r="H26" s="16">
        <f t="shared" si="5"/>
        <v>45562.5</v>
      </c>
      <c r="I26" s="16">
        <f t="shared" si="5"/>
        <v>45112.5</v>
      </c>
      <c r="J26" s="16">
        <f t="shared" si="5"/>
        <v>45000</v>
      </c>
    </row>
    <row r="27" spans="1:11" x14ac:dyDescent="0.35">
      <c r="A27" t="s">
        <v>183</v>
      </c>
      <c r="B27" s="16">
        <f t="shared" ref="B27:J27" si="6">B6</f>
        <v>31184.999999999996</v>
      </c>
      <c r="C27" s="16">
        <f t="shared" si="6"/>
        <v>33412.5</v>
      </c>
      <c r="D27" s="16">
        <f t="shared" si="6"/>
        <v>35640</v>
      </c>
      <c r="E27" s="16">
        <f t="shared" si="6"/>
        <v>37867.5</v>
      </c>
      <c r="F27" s="16">
        <f t="shared" si="6"/>
        <v>40905</v>
      </c>
      <c r="G27" s="16">
        <f t="shared" si="6"/>
        <v>43177.5</v>
      </c>
      <c r="H27" s="16">
        <f t="shared" si="6"/>
        <v>45450</v>
      </c>
      <c r="I27" s="16">
        <f t="shared" si="6"/>
        <v>45112.5</v>
      </c>
      <c r="J27" s="16">
        <f t="shared" si="6"/>
        <v>45000</v>
      </c>
    </row>
    <row r="28" spans="1:11" x14ac:dyDescent="0.35">
      <c r="A28" t="s">
        <v>184</v>
      </c>
      <c r="B28" s="16">
        <f>B24+B25-B27</f>
        <v>315</v>
      </c>
      <c r="C28" s="16">
        <f t="shared" ref="C28:J28" si="7">C24+C25-C27</f>
        <v>652.5</v>
      </c>
      <c r="D28" s="16">
        <f t="shared" si="7"/>
        <v>1012.5</v>
      </c>
      <c r="E28" s="16">
        <f t="shared" si="7"/>
        <v>1395</v>
      </c>
      <c r="F28" s="16">
        <f t="shared" si="7"/>
        <v>990</v>
      </c>
      <c r="G28" s="16">
        <f t="shared" si="7"/>
        <v>562.5</v>
      </c>
      <c r="H28" s="16">
        <f t="shared" si="7"/>
        <v>112.5</v>
      </c>
      <c r="I28" s="16">
        <f t="shared" si="7"/>
        <v>0</v>
      </c>
      <c r="J28" s="16">
        <f t="shared" si="7"/>
        <v>0</v>
      </c>
    </row>
    <row r="31" spans="1:11" x14ac:dyDescent="0.35">
      <c r="A31" s="22" t="s">
        <v>185</v>
      </c>
    </row>
    <row r="32" spans="1:11" x14ac:dyDescent="0.35">
      <c r="A32" t="s">
        <v>302</v>
      </c>
    </row>
    <row r="33" spans="1:1" x14ac:dyDescent="0.35">
      <c r="A33" t="s">
        <v>205</v>
      </c>
    </row>
  </sheetData>
  <mergeCells count="2">
    <mergeCell ref="B2:J2"/>
    <mergeCell ref="C22:K22"/>
  </mergeCells>
  <pageMargins left="0.7" right="0.7" top="0.75" bottom="0.75" header="0.3" footer="0.3"/>
  <pageSetup scale="7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workbookViewId="0">
      <selection activeCell="A14" sqref="A14"/>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83" t="s">
        <v>196</v>
      </c>
      <c r="B1" s="83"/>
    </row>
    <row r="2" spans="1:11" x14ac:dyDescent="0.35">
      <c r="A2" s="83"/>
      <c r="B2" s="83"/>
    </row>
    <row r="3" spans="1:11" x14ac:dyDescent="0.35">
      <c r="A3" s="84" t="s">
        <v>3</v>
      </c>
      <c r="B3" s="84">
        <v>0</v>
      </c>
      <c r="C3" s="84" t="s">
        <v>39</v>
      </c>
      <c r="D3" s="84" t="s">
        <v>40</v>
      </c>
      <c r="E3" s="84" t="s">
        <v>41</v>
      </c>
      <c r="F3" s="84" t="s">
        <v>42</v>
      </c>
      <c r="G3" s="84" t="s">
        <v>43</v>
      </c>
      <c r="H3" s="84" t="s">
        <v>44</v>
      </c>
      <c r="I3" s="84" t="s">
        <v>45</v>
      </c>
      <c r="J3" s="84" t="s">
        <v>46</v>
      </c>
      <c r="K3" s="84" t="s">
        <v>47</v>
      </c>
    </row>
    <row r="4" spans="1:11" x14ac:dyDescent="0.35">
      <c r="A4" s="85" t="s">
        <v>167</v>
      </c>
      <c r="B4" s="86">
        <v>0</v>
      </c>
      <c r="C4" s="86">
        <f>B19</f>
        <v>0</v>
      </c>
      <c r="D4" s="86">
        <f>C19</f>
        <v>34471.549999999348</v>
      </c>
      <c r="E4" s="86">
        <f t="shared" ref="E4:K4" si="0">D19</f>
        <v>740314.8749999979</v>
      </c>
      <c r="F4" s="86">
        <f t="shared" si="0"/>
        <v>1288859.6102499978</v>
      </c>
      <c r="G4" s="86">
        <f t="shared" si="0"/>
        <v>1687034.0578324981</v>
      </c>
      <c r="H4" s="86">
        <f t="shared" si="0"/>
        <v>1586384.6108924234</v>
      </c>
      <c r="I4" s="86">
        <f t="shared" si="0"/>
        <v>2380619.4177553994</v>
      </c>
      <c r="J4" s="86">
        <f t="shared" si="0"/>
        <v>3022929.8154643485</v>
      </c>
      <c r="K4" s="86">
        <f t="shared" si="0"/>
        <v>3660136.0794733721</v>
      </c>
    </row>
    <row r="5" spans="1:11" x14ac:dyDescent="0.35">
      <c r="A5" s="85" t="s">
        <v>222</v>
      </c>
      <c r="B5" s="86">
        <f>'Ann 5'!C17</f>
        <v>486000.00000000006</v>
      </c>
      <c r="C5" s="86">
        <v>0</v>
      </c>
      <c r="D5" s="86">
        <v>0</v>
      </c>
      <c r="E5" s="86">
        <v>0</v>
      </c>
      <c r="F5" s="86">
        <v>0</v>
      </c>
      <c r="G5" s="86">
        <v>0</v>
      </c>
      <c r="H5" s="86">
        <v>0</v>
      </c>
      <c r="I5" s="86">
        <v>0</v>
      </c>
      <c r="J5" s="86">
        <v>0</v>
      </c>
      <c r="K5" s="86">
        <v>0</v>
      </c>
    </row>
    <row r="6" spans="1:11" x14ac:dyDescent="0.35">
      <c r="A6" s="85" t="s">
        <v>223</v>
      </c>
      <c r="B6" s="86">
        <f>'Ann 2'!C6*100000</f>
        <v>4374000</v>
      </c>
      <c r="C6" s="86">
        <v>0</v>
      </c>
      <c r="D6" s="86">
        <v>0</v>
      </c>
      <c r="E6" s="86">
        <v>0</v>
      </c>
      <c r="F6" s="86">
        <v>0</v>
      </c>
      <c r="G6" s="86">
        <v>0</v>
      </c>
      <c r="H6" s="86">
        <v>0</v>
      </c>
      <c r="I6" s="86">
        <v>0</v>
      </c>
      <c r="J6" s="86">
        <v>0</v>
      </c>
      <c r="K6" s="86">
        <v>0</v>
      </c>
    </row>
    <row r="7" spans="1:11" x14ac:dyDescent="0.35">
      <c r="A7" s="85" t="s">
        <v>224</v>
      </c>
      <c r="B7" s="86">
        <f>'Ann 9'!F6*100000</f>
        <v>4860000</v>
      </c>
      <c r="C7" s="86">
        <v>0</v>
      </c>
      <c r="D7" s="86">
        <v>0</v>
      </c>
      <c r="E7" s="86">
        <v>0</v>
      </c>
      <c r="F7" s="86">
        <v>0</v>
      </c>
      <c r="G7" s="86">
        <v>0</v>
      </c>
      <c r="H7" s="86">
        <v>0</v>
      </c>
      <c r="I7" s="86">
        <v>0</v>
      </c>
      <c r="J7" s="86">
        <v>0</v>
      </c>
      <c r="K7" s="86">
        <v>0</v>
      </c>
    </row>
    <row r="8" spans="1:11" x14ac:dyDescent="0.35">
      <c r="A8" s="85" t="s">
        <v>168</v>
      </c>
      <c r="B8" s="86">
        <v>0</v>
      </c>
      <c r="C8" s="86">
        <f>'Ann 4'!C19-'Ann 5'!C12</f>
        <v>11623499.999999998</v>
      </c>
      <c r="D8" s="86">
        <f>'Ann 4'!D19-'Ann 5'!D12</f>
        <v>11855969.999999998</v>
      </c>
      <c r="E8" s="86">
        <f>'Ann 4'!E19-'Ann 5'!E12</f>
        <v>12093089.399999999</v>
      </c>
      <c r="F8" s="86">
        <f>'Ann 4'!F19-'Ann 5'!F12</f>
        <v>12334951.187999999</v>
      </c>
      <c r="G8" s="86">
        <f>'Ann 4'!G19-'Ann 5'!G12</f>
        <v>12581650.211759999</v>
      </c>
      <c r="H8" s="86">
        <f>'Ann 4'!H19-'Ann 5'!H12</f>
        <v>12833283.215995198</v>
      </c>
      <c r="I8" s="86">
        <f>'Ann 4'!I19-'Ann 5'!I12</f>
        <v>13089948.880315101</v>
      </c>
      <c r="J8" s="86">
        <f>'Ann 4'!J19-'Ann 5'!J12</f>
        <v>13351747.857921405</v>
      </c>
      <c r="K8" s="86">
        <f>'Ann 4'!K19-'Ann 5'!K12</f>
        <v>13618782.815079832</v>
      </c>
    </row>
    <row r="9" spans="1:11" x14ac:dyDescent="0.35">
      <c r="A9" s="85" t="s">
        <v>197</v>
      </c>
      <c r="B9" s="86">
        <v>0</v>
      </c>
      <c r="C9" s="86">
        <v>0</v>
      </c>
      <c r="D9" s="86">
        <f>'Ann 5'!C23</f>
        <v>65830</v>
      </c>
      <c r="E9" s="86">
        <f>'Ann 5'!D23</f>
        <v>66346.600000000006</v>
      </c>
      <c r="F9" s="86">
        <f>'Ann 5'!E23</f>
        <v>66873.531999999992</v>
      </c>
      <c r="G9" s="86">
        <f>'Ann 5'!F23</f>
        <v>67411.002639999992</v>
      </c>
      <c r="H9" s="86">
        <f>'Ann 5'!G23</f>
        <v>75959.222692800002</v>
      </c>
      <c r="I9" s="86">
        <f>'Ann 5'!H23</f>
        <v>76518.407146655998</v>
      </c>
      <c r="J9" s="86">
        <f>'Ann 5'!I23</f>
        <v>77088.775289589117</v>
      </c>
      <c r="K9" s="86">
        <f>'Ann 5'!J23</f>
        <v>77670.550795380899</v>
      </c>
    </row>
    <row r="10" spans="1:11" x14ac:dyDescent="0.35">
      <c r="A10" s="85" t="s">
        <v>198</v>
      </c>
      <c r="B10" s="86">
        <v>0</v>
      </c>
      <c r="C10" s="86">
        <v>0</v>
      </c>
      <c r="D10" s="86">
        <f>'Ann 5'!C12</f>
        <v>1291499.9999999998</v>
      </c>
      <c r="E10" s="86">
        <f>'Ann 5'!D12</f>
        <v>1317329.9999999998</v>
      </c>
      <c r="F10" s="86">
        <f>'Ann 5'!E12</f>
        <v>1343676.5999999999</v>
      </c>
      <c r="G10" s="86">
        <f>'Ann 5'!F12</f>
        <v>1370550.132</v>
      </c>
      <c r="H10" s="86">
        <f>'Ann 5'!G12</f>
        <v>1397961.1346399998</v>
      </c>
      <c r="I10" s="86">
        <f>'Ann 5'!H12</f>
        <v>1425920.3573327998</v>
      </c>
      <c r="J10" s="86">
        <f>'Ann 5'!I12</f>
        <v>1454438.7644794558</v>
      </c>
      <c r="K10" s="86">
        <f>'Ann 5'!J12</f>
        <v>1483527.5397690448</v>
      </c>
    </row>
    <row r="11" spans="1:11" x14ac:dyDescent="0.35">
      <c r="A11" s="85" t="s">
        <v>199</v>
      </c>
      <c r="B11" s="86">
        <v>0</v>
      </c>
      <c r="C11" s="86">
        <f>'Ann 4'!C11+'Ann 4'!C16-'Ann 5'!C23</f>
        <v>9360670</v>
      </c>
      <c r="D11" s="86">
        <f>'Ann 4'!D11+'Ann 4'!D16-'Ann 5'!D23</f>
        <v>10003639.4</v>
      </c>
      <c r="E11" s="86">
        <f>'Ann 4'!E11+'Ann 4'!E16-'Ann 5'!E23</f>
        <v>10586538.548</v>
      </c>
      <c r="F11" s="86">
        <f>'Ann 4'!F11+'Ann 4'!F16-'Ann 5'!F23</f>
        <v>11179942.26056</v>
      </c>
      <c r="G11" s="86">
        <f>'Ann 4'!G11+'Ann 4'!G16-'Ann 5'!G23</f>
        <v>11816459.1988672</v>
      </c>
      <c r="H11" s="86">
        <f>'Ann 4'!H11+'Ann 4'!H16-'Ann 5'!H23</f>
        <v>12432733.875276303</v>
      </c>
      <c r="I11" s="86">
        <f>'Ann 4'!I11+'Ann 4'!I16-'Ann 5'!I23</f>
        <v>13061448.779196994</v>
      </c>
      <c r="J11" s="86">
        <f>'Ann 4'!J11+'Ann 4'!J16-'Ann 5'!J23</f>
        <v>13289475.194831014</v>
      </c>
      <c r="K11" s="86">
        <f>'Ann 4'!K11+'Ann 4'!K16-'Ann 5'!K23</f>
        <v>13530424.819611335</v>
      </c>
    </row>
    <row r="12" spans="1:11" x14ac:dyDescent="0.35">
      <c r="A12" s="85" t="s">
        <v>169</v>
      </c>
      <c r="B12" s="86">
        <v>0</v>
      </c>
      <c r="C12" s="86">
        <f>'Ann 4'!C25</f>
        <v>259917</v>
      </c>
      <c r="D12" s="86">
        <f>'Ann 4'!D25</f>
        <v>227117.99999999997</v>
      </c>
      <c r="E12" s="86">
        <f>'Ann 4'!E25</f>
        <v>186749.99999999994</v>
      </c>
      <c r="F12" s="86">
        <f>'Ann 4'!F25</f>
        <v>146381.99999999997</v>
      </c>
      <c r="G12" s="86">
        <f>'Ann 4'!G25</f>
        <v>30288</v>
      </c>
      <c r="H12" s="86">
        <f>'Ann 4'!H25</f>
        <v>0</v>
      </c>
      <c r="I12" s="86">
        <f>'Ann 4'!I25</f>
        <v>0</v>
      </c>
      <c r="J12" s="86">
        <f>'Ann 4'!J25</f>
        <v>0</v>
      </c>
      <c r="K12" s="86">
        <f>'Ann 4'!K25</f>
        <v>0</v>
      </c>
    </row>
    <row r="13" spans="1:11" x14ac:dyDescent="0.35">
      <c r="A13" s="85"/>
      <c r="B13" s="86">
        <v>0</v>
      </c>
      <c r="C13" s="86">
        <f>B4+C8-C9+C10-C11-C12+B5+B6-B7</f>
        <v>2002912.9999999981</v>
      </c>
      <c r="D13" s="86">
        <f t="shared" ref="D13:K13" si="1">D4+D8-D9+D10-D11-D12+D5+D6-D7</f>
        <v>2885354.1499999966</v>
      </c>
      <c r="E13" s="86">
        <f t="shared" si="1"/>
        <v>3311099.1269999966</v>
      </c>
      <c r="F13" s="86">
        <f t="shared" si="1"/>
        <v>3574289.6056899969</v>
      </c>
      <c r="G13" s="86">
        <f t="shared" si="1"/>
        <v>3725076.2000852972</v>
      </c>
      <c r="H13" s="86">
        <f t="shared" si="1"/>
        <v>3308935.8635585178</v>
      </c>
      <c r="I13" s="86">
        <f t="shared" si="1"/>
        <v>3758521.469059648</v>
      </c>
      <c r="J13" s="86">
        <f t="shared" si="1"/>
        <v>4462552.4677446075</v>
      </c>
      <c r="K13" s="86">
        <f t="shared" si="1"/>
        <v>5154351.0639155339</v>
      </c>
    </row>
    <row r="14" spans="1:11" x14ac:dyDescent="0.35">
      <c r="A14" s="85" t="s">
        <v>201</v>
      </c>
      <c r="B14" s="86">
        <v>0</v>
      </c>
      <c r="C14" s="86">
        <f>'Ann 4'!C32</f>
        <v>753249.89999999944</v>
      </c>
      <c r="D14" s="86">
        <f>'Ann 4'!D32</f>
        <v>679495.04999999946</v>
      </c>
      <c r="E14" s="86">
        <f>'Ann 4'!E32</f>
        <v>622818.2384999994</v>
      </c>
      <c r="F14" s="86">
        <f>'Ann 4'!F32</f>
        <v>560517.94516499958</v>
      </c>
      <c r="G14" s="86">
        <f>'Ann 4'!G32</f>
        <v>503765.34885824932</v>
      </c>
      <c r="H14" s="86">
        <f>'Ann 4'!H32</f>
        <v>428453.74421682383</v>
      </c>
      <c r="I14" s="86">
        <f>'Ann 4'!I32</f>
        <v>339503.84012090758</v>
      </c>
      <c r="J14" s="86">
        <f>'Ann 4'!J32</f>
        <v>370346.02535595483</v>
      </c>
      <c r="K14" s="86">
        <f>'Ann 4'!K32</f>
        <v>397247.27233896777</v>
      </c>
    </row>
    <row r="15" spans="1:11" x14ac:dyDescent="0.35">
      <c r="A15" s="85"/>
      <c r="B15" s="86">
        <v>0</v>
      </c>
      <c r="C15" s="86">
        <f>C13-C14</f>
        <v>1249663.0999999987</v>
      </c>
      <c r="D15" s="86">
        <f t="shared" ref="D15:K15" si="2">D13-D14</f>
        <v>2205859.0999999973</v>
      </c>
      <c r="E15" s="86">
        <f t="shared" si="2"/>
        <v>2688280.8884999971</v>
      </c>
      <c r="F15" s="86">
        <f t="shared" si="2"/>
        <v>3013771.6605249974</v>
      </c>
      <c r="G15" s="86">
        <f t="shared" si="2"/>
        <v>3221310.8512270479</v>
      </c>
      <c r="H15" s="86">
        <f t="shared" si="2"/>
        <v>2880482.1193416938</v>
      </c>
      <c r="I15" s="86">
        <f t="shared" si="2"/>
        <v>3419017.6289387406</v>
      </c>
      <c r="J15" s="86">
        <f t="shared" si="2"/>
        <v>4092206.4423886528</v>
      </c>
      <c r="K15" s="86">
        <f t="shared" si="2"/>
        <v>4757103.7915765662</v>
      </c>
    </row>
    <row r="16" spans="1:11" x14ac:dyDescent="0.35">
      <c r="A16" s="85" t="s">
        <v>200</v>
      </c>
      <c r="B16" s="86">
        <v>0</v>
      </c>
      <c r="C16" s="86">
        <f>'Ann 4'!C34</f>
        <v>878791.54999999935</v>
      </c>
      <c r="D16" s="86">
        <f>'Ann 4'!D34</f>
        <v>792744.22499999939</v>
      </c>
      <c r="E16" s="86">
        <f>'Ann 4'!E34</f>
        <v>726621.27824999928</v>
      </c>
      <c r="F16" s="86">
        <f>'Ann 4'!F34</f>
        <v>653937.60269249952</v>
      </c>
      <c r="G16" s="86">
        <f>'Ann 4'!G34</f>
        <v>1559726.2403346244</v>
      </c>
      <c r="H16" s="86">
        <f>'Ann 4'!H34</f>
        <v>499862.70158629451</v>
      </c>
      <c r="I16" s="86">
        <f>'Ann 4'!I34</f>
        <v>396087.81347439217</v>
      </c>
      <c r="J16" s="86">
        <f>'Ann 4'!J34</f>
        <v>432070.36291528062</v>
      </c>
      <c r="K16" s="86">
        <f>'Ann 4'!K34</f>
        <v>463455.15106212907</v>
      </c>
    </row>
    <row r="17" spans="1:12" x14ac:dyDescent="0.35">
      <c r="A17" s="85"/>
      <c r="B17" s="86">
        <v>0</v>
      </c>
      <c r="C17" s="86">
        <f>C15-C16</f>
        <v>370871.54999999935</v>
      </c>
      <c r="D17" s="86">
        <f t="shared" ref="D17:K17" si="3">D15-D16</f>
        <v>1413114.8749999979</v>
      </c>
      <c r="E17" s="86">
        <f t="shared" si="3"/>
        <v>1961659.6102499978</v>
      </c>
      <c r="F17" s="86">
        <f t="shared" si="3"/>
        <v>2359834.0578324981</v>
      </c>
      <c r="G17" s="86">
        <f t="shared" si="3"/>
        <v>1661584.6108924234</v>
      </c>
      <c r="H17" s="86">
        <f t="shared" si="3"/>
        <v>2380619.4177553994</v>
      </c>
      <c r="I17" s="86">
        <f t="shared" si="3"/>
        <v>3022929.8154643485</v>
      </c>
      <c r="J17" s="86">
        <f t="shared" si="3"/>
        <v>3660136.0794733721</v>
      </c>
      <c r="K17" s="86">
        <f t="shared" si="3"/>
        <v>4293648.6405144371</v>
      </c>
    </row>
    <row r="18" spans="1:12" x14ac:dyDescent="0.35">
      <c r="A18" s="85" t="s">
        <v>202</v>
      </c>
      <c r="B18" s="86">
        <v>0</v>
      </c>
      <c r="C18" s="86">
        <f>SUM('Ann 13'!D10:D13)*100000</f>
        <v>336400</v>
      </c>
      <c r="D18" s="86">
        <f>SUM('Ann 13'!D14:D17)*100000</f>
        <v>672800</v>
      </c>
      <c r="E18" s="86">
        <f>SUM('Ann 13'!D18:D21)*100000</f>
        <v>672800</v>
      </c>
      <c r="F18" s="86">
        <f>SUM('Ann 13'!D22:D25)*100000</f>
        <v>672800</v>
      </c>
      <c r="G18" s="86">
        <f>SUM('Ann 13'!D26:D29)*100000</f>
        <v>75200</v>
      </c>
      <c r="H18" s="86">
        <f>SUM('Ann 13'!D30:D33)*100000</f>
        <v>0</v>
      </c>
      <c r="I18" s="86">
        <f>SUM('Ann 13'!D34:D37)*100000</f>
        <v>0</v>
      </c>
      <c r="J18" s="86">
        <v>0</v>
      </c>
      <c r="K18" s="86">
        <v>0</v>
      </c>
    </row>
    <row r="19" spans="1:12" x14ac:dyDescent="0.35">
      <c r="A19" s="85" t="s">
        <v>203</v>
      </c>
      <c r="B19" s="86">
        <v>0</v>
      </c>
      <c r="C19" s="86">
        <f>C17-C18</f>
        <v>34471.549999999348</v>
      </c>
      <c r="D19" s="86">
        <f>D17-D18</f>
        <v>740314.8749999979</v>
      </c>
      <c r="E19" s="86">
        <f>E17-E18</f>
        <v>1288859.6102499978</v>
      </c>
      <c r="F19" s="86">
        <f t="shared" ref="F19:K19" si="4">F17-F18</f>
        <v>1687034.0578324981</v>
      </c>
      <c r="G19" s="86">
        <f t="shared" si="4"/>
        <v>1586384.6108924234</v>
      </c>
      <c r="H19" s="86">
        <f t="shared" si="4"/>
        <v>2380619.4177553994</v>
      </c>
      <c r="I19" s="86">
        <f t="shared" si="4"/>
        <v>3022929.8154643485</v>
      </c>
      <c r="J19" s="86">
        <f t="shared" si="4"/>
        <v>3660136.0794733721</v>
      </c>
      <c r="K19" s="86">
        <f t="shared" si="4"/>
        <v>4293648.6405144371</v>
      </c>
    </row>
    <row r="21" spans="1:12" x14ac:dyDescent="0.35">
      <c r="A21" s="103" t="s">
        <v>206</v>
      </c>
      <c r="B21" s="104">
        <v>0.06</v>
      </c>
      <c r="C21" s="105"/>
      <c r="D21" s="103"/>
      <c r="E21" s="103"/>
      <c r="F21" s="103"/>
      <c r="G21" s="103"/>
      <c r="H21" s="103"/>
      <c r="I21" s="103"/>
      <c r="J21" s="103"/>
      <c r="K21" s="103"/>
      <c r="L21" s="103"/>
    </row>
    <row r="22" spans="1:12" x14ac:dyDescent="0.35">
      <c r="A22" s="103" t="s">
        <v>207</v>
      </c>
      <c r="B22" s="103">
        <v>1</v>
      </c>
      <c r="C22" s="106">
        <f>1/(1+$B$21)</f>
        <v>0.94339622641509424</v>
      </c>
      <c r="D22" s="106">
        <f>1/((1+$B$21)*(1+$B$21))</f>
        <v>0.88999644001423983</v>
      </c>
      <c r="E22" s="106">
        <f>1/((1+$B$21)*(1+$B$21)*(1+$B$21))</f>
        <v>0.8396192830323016</v>
      </c>
      <c r="F22" s="106">
        <f>1/((1+$B$21)*(1+$B$21)*(1+$B$21)*(1+$B$21))</f>
        <v>0.79209366323802044</v>
      </c>
      <c r="G22" s="106">
        <f>1/((1+$B$21)*(1+$B$21)*(1+$B$21)*(1+$B$21)*(1+$B$21))</f>
        <v>0.74725817286605689</v>
      </c>
      <c r="H22" s="106">
        <f>1/((1+$B$21)*(1+$B$21)*(1+$B$21)*(1+$B$21)*(1+$B$21)*(1+$B$21))</f>
        <v>0.70496054043967626</v>
      </c>
      <c r="I22" s="106">
        <f>1/((1+$B$21)*(1+$B$21)*(1+$B$21)*(1+$B$21)*(1+$B$21)*(1+$B$21)*(1+$B$21))</f>
        <v>0.6650571136223361</v>
      </c>
      <c r="J22" s="106">
        <f>1/((1+$B$21)*(1+$B$21)*(1+$B$21)*(1+$B$21)*(1+$B$21)*(1+$B$21)*(1+$B$21)*(1+$B$21))</f>
        <v>0.62741237134182648</v>
      </c>
      <c r="K22" s="106">
        <f>1/((1+$B$21)*(1+$B$21)*(1+$B$21)*(1+$B$21)*(1+$B$21)*(1+$B$21)*(1+$B$21)*(1+$B$21)*(1+$B$21))</f>
        <v>0.59189846353002495</v>
      </c>
      <c r="L22" s="103"/>
    </row>
    <row r="23" spans="1:12" x14ac:dyDescent="0.35">
      <c r="A23" s="103" t="s">
        <v>208</v>
      </c>
      <c r="B23" s="103">
        <f>B4+B8+B10+B5+B6</f>
        <v>4860000</v>
      </c>
      <c r="C23" s="103">
        <f>C4+C8+C10+C5+C6</f>
        <v>11623499.999999998</v>
      </c>
      <c r="D23" s="103">
        <f t="shared" ref="D23:K23" si="5">D4+D8+D10</f>
        <v>13181941.549999997</v>
      </c>
      <c r="E23" s="103">
        <f t="shared" si="5"/>
        <v>14150734.274999997</v>
      </c>
      <c r="F23" s="103">
        <f t="shared" si="5"/>
        <v>14967487.398249997</v>
      </c>
      <c r="G23" s="103">
        <f t="shared" si="5"/>
        <v>15639234.401592497</v>
      </c>
      <c r="H23" s="103">
        <f t="shared" si="5"/>
        <v>15817628.961527623</v>
      </c>
      <c r="I23" s="103">
        <f t="shared" si="5"/>
        <v>16896488.655403301</v>
      </c>
      <c r="J23" s="103">
        <f t="shared" si="5"/>
        <v>17829116.437865209</v>
      </c>
      <c r="K23" s="103">
        <f t="shared" si="5"/>
        <v>18762446.434322249</v>
      </c>
      <c r="L23" s="103"/>
    </row>
    <row r="24" spans="1:12" x14ac:dyDescent="0.35">
      <c r="A24" s="103" t="s">
        <v>209</v>
      </c>
      <c r="B24" s="103">
        <f>B23*B22</f>
        <v>4860000</v>
      </c>
      <c r="C24" s="103">
        <f>C23*C22</f>
        <v>10965566.037735846</v>
      </c>
      <c r="D24" s="103">
        <f t="shared" ref="D24:K24" si="6">D23*D22</f>
        <v>11731881.051975789</v>
      </c>
      <c r="E24" s="103">
        <f t="shared" si="6"/>
        <v>11881229.366356114</v>
      </c>
      <c r="F24" s="103">
        <f t="shared" si="6"/>
        <v>11855651.922748748</v>
      </c>
      <c r="G24" s="103">
        <f t="shared" si="6"/>
        <v>11686545.723957989</v>
      </c>
      <c r="H24" s="103">
        <f t="shared" si="6"/>
        <v>11150804.261192789</v>
      </c>
      <c r="I24" s="103">
        <f t="shared" si="6"/>
        <v>11237129.975515066</v>
      </c>
      <c r="J24" s="103">
        <f t="shared" si="6"/>
        <v>11186208.223210549</v>
      </c>
      <c r="K24" s="103">
        <f t="shared" si="6"/>
        <v>11105463.216539735</v>
      </c>
      <c r="L24" s="103"/>
    </row>
    <row r="25" spans="1:12" x14ac:dyDescent="0.35">
      <c r="A25" s="103" t="s">
        <v>210</v>
      </c>
      <c r="B25" s="103">
        <f>B9+B11+B12+B14+B16+B18+B7</f>
        <v>4860000</v>
      </c>
      <c r="C25" s="103">
        <f>C9+C11+C12+C14+C16+C18+C7</f>
        <v>11589028.449999997</v>
      </c>
      <c r="D25" s="103">
        <f t="shared" ref="D25:K25" si="7">D9+D11+D12+D14+D16+D18+D7</f>
        <v>12441626.674999999</v>
      </c>
      <c r="E25" s="103">
        <f t="shared" si="7"/>
        <v>12861874.664749999</v>
      </c>
      <c r="F25" s="103">
        <f t="shared" si="7"/>
        <v>13280453.340417499</v>
      </c>
      <c r="G25" s="103">
        <f t="shared" si="7"/>
        <v>14052849.790700072</v>
      </c>
      <c r="H25" s="103">
        <f t="shared" si="7"/>
        <v>13437009.543772222</v>
      </c>
      <c r="I25" s="103">
        <f t="shared" si="7"/>
        <v>13873558.839938952</v>
      </c>
      <c r="J25" s="103">
        <f t="shared" si="7"/>
        <v>14168980.35839184</v>
      </c>
      <c r="K25" s="103">
        <f t="shared" si="7"/>
        <v>14468797.793807812</v>
      </c>
      <c r="L25" s="103"/>
    </row>
    <row r="26" spans="1:12" x14ac:dyDescent="0.35">
      <c r="A26" s="103" t="s">
        <v>211</v>
      </c>
      <c r="B26" s="103">
        <f>B25*B22</f>
        <v>4860000</v>
      </c>
      <c r="C26" s="103">
        <f>C25*C22</f>
        <v>10933045.707547165</v>
      </c>
      <c r="D26" s="103">
        <f t="shared" ref="D26:K26" si="8">D25*D22</f>
        <v>11073003.448736202</v>
      </c>
      <c r="E26" s="103">
        <f t="shared" si="8"/>
        <v>10799077.984468719</v>
      </c>
      <c r="F26" s="103">
        <f t="shared" si="8"/>
        <v>10519362.935872901</v>
      </c>
      <c r="G26" s="103">
        <f t="shared" si="8"/>
        <v>10501106.858159686</v>
      </c>
      <c r="H26" s="103">
        <f t="shared" si="8"/>
        <v>9472561.5098707546</v>
      </c>
      <c r="I26" s="103">
        <f t="shared" si="8"/>
        <v>9226708.9977594446</v>
      </c>
      <c r="J26" s="103">
        <f t="shared" si="8"/>
        <v>8889793.5661543868</v>
      </c>
      <c r="K26" s="103">
        <f t="shared" si="8"/>
        <v>8564059.1832814589</v>
      </c>
      <c r="L26" s="103"/>
    </row>
    <row r="27" spans="1:12" x14ac:dyDescent="0.35">
      <c r="A27" s="103"/>
      <c r="B27" s="103"/>
      <c r="C27" s="103"/>
      <c r="D27" s="103"/>
      <c r="E27" s="103"/>
      <c r="F27" s="103"/>
      <c r="G27" s="103"/>
      <c r="H27" s="103"/>
      <c r="I27" s="103"/>
      <c r="J27" s="103"/>
      <c r="K27" s="103"/>
      <c r="L27" s="103"/>
    </row>
    <row r="28" spans="1:12" x14ac:dyDescent="0.35">
      <c r="A28" s="103" t="s">
        <v>212</v>
      </c>
      <c r="B28" s="103">
        <f>B23-B25</f>
        <v>0</v>
      </c>
      <c r="C28" s="103">
        <f>C23-C25</f>
        <v>34471.550000000745</v>
      </c>
      <c r="D28" s="103">
        <f>D23-D25</f>
        <v>740314.87499999814</v>
      </c>
      <c r="E28" s="103">
        <f t="shared" ref="E28:K28" si="9">E23-E25</f>
        <v>1288859.610249998</v>
      </c>
      <c r="F28" s="103">
        <f t="shared" si="9"/>
        <v>1687034.0578324981</v>
      </c>
      <c r="G28" s="103">
        <f t="shared" si="9"/>
        <v>1586384.6108924244</v>
      </c>
      <c r="H28" s="103">
        <f t="shared" si="9"/>
        <v>2380619.4177554008</v>
      </c>
      <c r="I28" s="103">
        <f t="shared" si="9"/>
        <v>3022929.8154643495</v>
      </c>
      <c r="J28" s="103">
        <f t="shared" si="9"/>
        <v>3660136.0794733688</v>
      </c>
      <c r="K28" s="103">
        <f t="shared" si="9"/>
        <v>4293648.6405144371</v>
      </c>
      <c r="L28" s="103"/>
    </row>
    <row r="29" spans="1:12" x14ac:dyDescent="0.35">
      <c r="A29" s="103" t="s">
        <v>213</v>
      </c>
      <c r="B29" s="103">
        <f>B24-B26</f>
        <v>0</v>
      </c>
      <c r="C29" s="103">
        <f>C28*C22</f>
        <v>32520.330188679945</v>
      </c>
      <c r="D29" s="103">
        <f t="shared" ref="D29:K29" si="10">D28*D22</f>
        <v>658877.6032395853</v>
      </c>
      <c r="E29" s="103">
        <f t="shared" si="10"/>
        <v>1082151.3818873949</v>
      </c>
      <c r="F29" s="103">
        <f t="shared" si="10"/>
        <v>1336288.9868758458</v>
      </c>
      <c r="G29" s="103">
        <f t="shared" si="10"/>
        <v>1185438.8657983036</v>
      </c>
      <c r="H29" s="103">
        <f t="shared" si="10"/>
        <v>1678242.7513220347</v>
      </c>
      <c r="I29" s="103">
        <f t="shared" si="10"/>
        <v>2010420.9777556213</v>
      </c>
      <c r="J29" s="103">
        <f t="shared" si="10"/>
        <v>2296414.6570561621</v>
      </c>
      <c r="K29" s="103">
        <f t="shared" si="10"/>
        <v>2541404.0332582756</v>
      </c>
      <c r="L29" s="103">
        <f>SUM(B29:K29)</f>
        <v>12821759.587381905</v>
      </c>
    </row>
    <row r="30" spans="1:12" x14ac:dyDescent="0.35">
      <c r="A30" s="105"/>
      <c r="B30" s="105"/>
      <c r="C30" s="107"/>
      <c r="D30" s="107"/>
      <c r="E30" s="107"/>
      <c r="F30" s="107"/>
      <c r="G30" s="107"/>
      <c r="H30" s="105"/>
      <c r="I30" s="105"/>
      <c r="J30" s="105"/>
      <c r="K30" s="105"/>
      <c r="L30" s="105"/>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214</v>
      </c>
      <c r="B3" s="2">
        <f>'Ann 4'!C19/100000</f>
        <v>129.14999999999998</v>
      </c>
      <c r="C3" s="2">
        <f>'Ann 4'!D19/100000</f>
        <v>131.73299999999998</v>
      </c>
      <c r="D3" s="2">
        <f>'Ann 4'!E19/100000</f>
        <v>134.36765999999997</v>
      </c>
      <c r="E3" s="2">
        <f>'Ann 4'!F19/100000</f>
        <v>137.05501319999999</v>
      </c>
      <c r="F3" s="2">
        <f>'Ann 4'!G19/100000</f>
        <v>139.79611346399997</v>
      </c>
      <c r="G3" s="2">
        <f>'Ann 4'!H19/100000</f>
        <v>142.59203573327997</v>
      </c>
      <c r="H3" s="2">
        <f>'Ann 4'!I19/100000</f>
        <v>145.44387644794557</v>
      </c>
      <c r="I3" s="2">
        <f>'Ann 4'!J19/100000</f>
        <v>148.35275397690449</v>
      </c>
      <c r="J3" s="2">
        <f>'Ann 4'!K19/100000</f>
        <v>151.31980905644258</v>
      </c>
    </row>
    <row r="4" spans="1:10" x14ac:dyDescent="0.35">
      <c r="A4" t="s">
        <v>215</v>
      </c>
      <c r="B4" s="2">
        <f>'Ann 4'!C18/100000</f>
        <v>94.265000000000001</v>
      </c>
      <c r="C4" s="2">
        <f>'Ann 4'!D18/100000</f>
        <v>100.69986</v>
      </c>
      <c r="D4" s="2">
        <f>'Ann 4'!E18/100000</f>
        <v>106.5341208</v>
      </c>
      <c r="E4" s="2">
        <f>'Ann 4'!F18/100000</f>
        <v>112.473532632</v>
      </c>
      <c r="F4" s="2">
        <f>'Ann 4'!G18/100000</f>
        <v>118.92418421560001</v>
      </c>
      <c r="G4" s="2">
        <f>'Ann 4'!H18/100000</f>
        <v>125.0925228242296</v>
      </c>
      <c r="H4" s="2">
        <f>'Ann 4'!I18/100000</f>
        <v>131.38537554486584</v>
      </c>
      <c r="I4" s="2">
        <f>'Ann 4'!J18/100000</f>
        <v>133.67145745626394</v>
      </c>
      <c r="J4" s="2">
        <f>'Ann 4'!K18/100000</f>
        <v>136.08688781422623</v>
      </c>
    </row>
    <row r="5" spans="1:10" x14ac:dyDescent="0.35">
      <c r="A5" t="s">
        <v>216</v>
      </c>
      <c r="B5" s="2">
        <f>B3-B4</f>
        <v>34.884999999999977</v>
      </c>
      <c r="C5" s="2">
        <f t="shared" ref="C5:J5" si="0">C3-C4</f>
        <v>31.033139999999975</v>
      </c>
      <c r="D5" s="2">
        <f t="shared" si="0"/>
        <v>27.833539199999976</v>
      </c>
      <c r="E5" s="2">
        <f t="shared" si="0"/>
        <v>24.581480567999989</v>
      </c>
      <c r="F5" s="2">
        <f t="shared" si="0"/>
        <v>20.871929248399965</v>
      </c>
      <c r="G5" s="2">
        <f t="shared" si="0"/>
        <v>17.499512909050367</v>
      </c>
      <c r="H5" s="2">
        <f t="shared" si="0"/>
        <v>14.058500903079732</v>
      </c>
      <c r="I5" s="2">
        <f t="shared" si="0"/>
        <v>14.681296520640558</v>
      </c>
      <c r="J5" s="2">
        <f t="shared" si="0"/>
        <v>15.232921242216349</v>
      </c>
    </row>
    <row r="6" spans="1:10" x14ac:dyDescent="0.35">
      <c r="A6" t="s">
        <v>217</v>
      </c>
      <c r="B6" s="2">
        <f>B5</f>
        <v>34.884999999999977</v>
      </c>
      <c r="C6" s="2">
        <f t="shared" ref="C6:J6" si="1">C5</f>
        <v>31.033139999999975</v>
      </c>
      <c r="D6" s="2">
        <f t="shared" si="1"/>
        <v>27.833539199999976</v>
      </c>
      <c r="E6" s="2">
        <f t="shared" si="1"/>
        <v>24.581480567999989</v>
      </c>
      <c r="F6" s="2">
        <f t="shared" si="1"/>
        <v>20.871929248399965</v>
      </c>
      <c r="G6" s="2">
        <f t="shared" si="1"/>
        <v>17.499512909050367</v>
      </c>
      <c r="H6" s="2">
        <f t="shared" si="1"/>
        <v>14.058500903079732</v>
      </c>
      <c r="I6" s="2">
        <f t="shared" si="1"/>
        <v>14.681296520640558</v>
      </c>
      <c r="J6" s="2">
        <f t="shared" si="1"/>
        <v>15.232921242216349</v>
      </c>
    </row>
    <row r="7" spans="1:10" x14ac:dyDescent="0.35">
      <c r="A7" t="s">
        <v>218</v>
      </c>
      <c r="B7" s="79">
        <f>'Ann 4'!C31/100000</f>
        <v>25.108329999999981</v>
      </c>
      <c r="C7" s="79">
        <f>'Ann 4'!D31/100000</f>
        <v>22.649834999999982</v>
      </c>
      <c r="D7" s="79">
        <f>'Ann 4'!E31/100000</f>
        <v>20.760607949999979</v>
      </c>
      <c r="E7" s="79">
        <f>'Ann 4'!F31/100000</f>
        <v>18.683931505499984</v>
      </c>
      <c r="F7" s="79">
        <f>'Ann 4'!G31/100000</f>
        <v>36.232178295274984</v>
      </c>
      <c r="G7" s="79">
        <f>'Ann 4'!H31/100000</f>
        <v>14.281791473894129</v>
      </c>
      <c r="H7" s="79">
        <f>'Ann 4'!I31/100000</f>
        <v>11.31679467069692</v>
      </c>
      <c r="I7" s="79">
        <f>'Ann 4'!J31/100000</f>
        <v>12.344867511865161</v>
      </c>
      <c r="J7" s="79">
        <f>'Ann 4'!K31/100000</f>
        <v>13.241575744632259</v>
      </c>
    </row>
    <row r="8" spans="1:10" x14ac:dyDescent="0.35">
      <c r="A8" t="s">
        <v>219</v>
      </c>
      <c r="B8" s="79">
        <f>'Ann 4'!C33/100000</f>
        <v>17.575830999999987</v>
      </c>
      <c r="C8" s="79">
        <f>'Ann 4'!D33/100000</f>
        <v>15.854884499999988</v>
      </c>
      <c r="D8" s="79">
        <f>'Ann 4'!E33/100000</f>
        <v>14.532425564999986</v>
      </c>
      <c r="E8" s="79">
        <f>'Ann 4'!F33/100000</f>
        <v>13.078752053849991</v>
      </c>
      <c r="F8" s="79">
        <f>'Ann 4'!G33/100000</f>
        <v>31.194524806692488</v>
      </c>
      <c r="G8" s="79">
        <f>'Ann 4'!H33/100000</f>
        <v>9.9972540317258911</v>
      </c>
      <c r="H8" s="79">
        <f>'Ann 4'!I33/100000</f>
        <v>7.9217562694878429</v>
      </c>
      <c r="I8" s="79">
        <f>'Ann 4'!J33/100000</f>
        <v>8.6414072583056125</v>
      </c>
      <c r="J8" s="79">
        <f>'Ann 4'!K33/100000</f>
        <v>9.2691030212425805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0"/>
  <sheetViews>
    <sheetView workbookViewId="0"/>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239</v>
      </c>
      <c r="B1" s="22" t="s">
        <v>240</v>
      </c>
    </row>
    <row r="2" spans="1:12" x14ac:dyDescent="0.35">
      <c r="A2">
        <v>1</v>
      </c>
      <c r="B2" t="s">
        <v>298</v>
      </c>
    </row>
    <row r="3" spans="1:12" x14ac:dyDescent="0.35">
      <c r="A3">
        <v>2</v>
      </c>
      <c r="B3" t="s">
        <v>242</v>
      </c>
    </row>
    <row r="4" spans="1:12" x14ac:dyDescent="0.35">
      <c r="C4" t="s">
        <v>189</v>
      </c>
      <c r="D4">
        <v>25000</v>
      </c>
      <c r="E4">
        <f>D4*1.05</f>
        <v>26250</v>
      </c>
      <c r="F4">
        <f t="shared" ref="F4:J4" si="0">E4*1.05</f>
        <v>27562.5</v>
      </c>
      <c r="G4">
        <f t="shared" si="0"/>
        <v>28940.625</v>
      </c>
      <c r="H4">
        <f t="shared" si="0"/>
        <v>30387.65625</v>
      </c>
      <c r="I4">
        <f t="shared" si="0"/>
        <v>31907.0390625</v>
      </c>
      <c r="J4">
        <f t="shared" si="0"/>
        <v>33502.391015624999</v>
      </c>
      <c r="K4">
        <f>J4</f>
        <v>33502.391015624999</v>
      </c>
      <c r="L4">
        <f>K4</f>
        <v>33502.391015624999</v>
      </c>
    </row>
    <row r="5" spans="1:12" x14ac:dyDescent="0.35">
      <c r="C5" t="s">
        <v>73</v>
      </c>
      <c r="D5">
        <f>D4*12</f>
        <v>300000</v>
      </c>
      <c r="E5">
        <f t="shared" ref="E5:L5" si="1">E4*12</f>
        <v>315000</v>
      </c>
      <c r="F5">
        <f t="shared" si="1"/>
        <v>330750</v>
      </c>
      <c r="G5">
        <f t="shared" si="1"/>
        <v>347287.5</v>
      </c>
      <c r="H5">
        <f t="shared" si="1"/>
        <v>364651.875</v>
      </c>
      <c r="I5">
        <f t="shared" si="1"/>
        <v>382884.46875</v>
      </c>
      <c r="J5">
        <f t="shared" si="1"/>
        <v>402028.69218749995</v>
      </c>
      <c r="K5">
        <f t="shared" si="1"/>
        <v>402028.69218749995</v>
      </c>
      <c r="L5">
        <f t="shared" si="1"/>
        <v>402028.69218749995</v>
      </c>
    </row>
    <row r="6" spans="1:12" x14ac:dyDescent="0.35">
      <c r="A6">
        <v>3</v>
      </c>
      <c r="B6" t="s">
        <v>299</v>
      </c>
    </row>
    <row r="7" spans="1:12" x14ac:dyDescent="0.35">
      <c r="A7">
        <v>4</v>
      </c>
      <c r="B7" t="s">
        <v>241</v>
      </c>
    </row>
    <row r="8" spans="1:12" x14ac:dyDescent="0.35">
      <c r="A8">
        <v>5</v>
      </c>
      <c r="B8" t="s">
        <v>300</v>
      </c>
    </row>
    <row r="9" spans="1:12" x14ac:dyDescent="0.35">
      <c r="A9">
        <v>6</v>
      </c>
      <c r="B9" t="s">
        <v>301</v>
      </c>
    </row>
    <row r="10" spans="1:12" ht="29" x14ac:dyDescent="0.35">
      <c r="A10">
        <v>7</v>
      </c>
      <c r="B10" s="99" t="s">
        <v>303</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146</v>
      </c>
    </row>
    <row r="2" spans="1:11" x14ac:dyDescent="0.35">
      <c r="C2" t="s">
        <v>39</v>
      </c>
      <c r="D2" t="s">
        <v>40</v>
      </c>
      <c r="E2" t="s">
        <v>41</v>
      </c>
      <c r="F2" t="s">
        <v>42</v>
      </c>
      <c r="G2" t="s">
        <v>43</v>
      </c>
      <c r="H2" t="s">
        <v>44</v>
      </c>
      <c r="I2" t="s">
        <v>45</v>
      </c>
      <c r="J2" t="s">
        <v>46</v>
      </c>
      <c r="K2" t="s">
        <v>47</v>
      </c>
    </row>
    <row r="3" spans="1:11" x14ac:dyDescent="0.35">
      <c r="A3" t="s">
        <v>147</v>
      </c>
      <c r="C3">
        <f>'Ann 4'!C19/300*270</f>
        <v>11623499.999999998</v>
      </c>
      <c r="D3">
        <f>'Ann 4'!D19/300*270</f>
        <v>11855969.999999998</v>
      </c>
      <c r="E3">
        <f>'Ann 4'!E19/300*270</f>
        <v>12093089.399999999</v>
      </c>
      <c r="F3">
        <f>'Ann 4'!F19/300*270</f>
        <v>12334951.187999999</v>
      </c>
      <c r="G3">
        <f>'Ann 4'!G19/300*270</f>
        <v>12581650.211759999</v>
      </c>
      <c r="H3">
        <f>'Ann 4'!H19/300*270</f>
        <v>12833283.215995198</v>
      </c>
      <c r="I3">
        <f>'Ann 4'!I19/300*270</f>
        <v>13089948.880315101</v>
      </c>
      <c r="J3">
        <f>'Ann 4'!J19/300*270</f>
        <v>13351747.857921405</v>
      </c>
      <c r="K3">
        <f>'Ann 4'!K19/300*270</f>
        <v>13618782.815079834</v>
      </c>
    </row>
    <row r="4" spans="1:11" x14ac:dyDescent="0.35">
      <c r="A4" t="s">
        <v>148</v>
      </c>
      <c r="C4">
        <v>5000000</v>
      </c>
    </row>
    <row r="5" spans="1:11" x14ac:dyDescent="0.35">
      <c r="A5" t="s">
        <v>149</v>
      </c>
      <c r="C5">
        <v>21492978</v>
      </c>
    </row>
    <row r="7" spans="1:11" x14ac:dyDescent="0.35">
      <c r="A7" t="s">
        <v>150</v>
      </c>
      <c r="C7">
        <f>'Ann 3'!G27</f>
        <v>4860000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workbookViewId="0"/>
  </sheetViews>
  <sheetFormatPr defaultRowHeight="14.5" x14ac:dyDescent="0.35"/>
  <cols>
    <col min="2" max="2" width="44.90625" customWidth="1"/>
    <col min="3" max="3" width="13.26953125" customWidth="1"/>
  </cols>
  <sheetData>
    <row r="1" spans="1:3" x14ac:dyDescent="0.35">
      <c r="A1" s="22" t="s">
        <v>319</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173</v>
      </c>
      <c r="C11" s="66">
        <f>'Ann 3'!G4/100000</f>
        <v>2.25</v>
      </c>
    </row>
    <row r="12" spans="1:3" x14ac:dyDescent="0.35">
      <c r="A12" s="7" t="s">
        <v>5</v>
      </c>
      <c r="B12" s="9" t="s">
        <v>8</v>
      </c>
      <c r="C12" s="66">
        <f>C11</f>
        <v>2.25</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3'!G25/100000</f>
        <v>46.35</v>
      </c>
    </row>
    <row r="20" spans="1:3" x14ac:dyDescent="0.35">
      <c r="A20" s="7"/>
      <c r="B20" s="9" t="s">
        <v>8</v>
      </c>
      <c r="C20" s="27">
        <f>C19</f>
        <v>46.35</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172</v>
      </c>
      <c r="C37" s="66">
        <v>0</v>
      </c>
    </row>
    <row r="38" spans="1:3" x14ac:dyDescent="0.35">
      <c r="A38" s="7"/>
      <c r="B38" s="9"/>
      <c r="C38" s="6"/>
    </row>
    <row r="39" spans="1:3" x14ac:dyDescent="0.35">
      <c r="A39" s="8"/>
      <c r="B39" s="11" t="s">
        <v>22</v>
      </c>
      <c r="C39" s="28">
        <f>C35+C28+C25+C20+C16+C23+C37+C12</f>
        <v>48.6</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D4" sqref="D4"/>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4.8600000000000003</v>
      </c>
      <c r="D4" s="42"/>
    </row>
    <row r="5" spans="1:4" x14ac:dyDescent="0.35">
      <c r="A5" s="14">
        <v>2</v>
      </c>
      <c r="B5" s="5" t="s">
        <v>27</v>
      </c>
      <c r="C5" s="27">
        <v>0</v>
      </c>
      <c r="D5" s="2"/>
    </row>
    <row r="6" spans="1:4" x14ac:dyDescent="0.35">
      <c r="A6" s="14">
        <v>3</v>
      </c>
      <c r="B6" s="5" t="s">
        <v>28</v>
      </c>
      <c r="C6" s="66">
        <f>C8-C4</f>
        <v>43.74</v>
      </c>
      <c r="D6" s="42"/>
    </row>
    <row r="7" spans="1:4" x14ac:dyDescent="0.35">
      <c r="A7" s="14">
        <v>4</v>
      </c>
      <c r="B7" s="5" t="s">
        <v>29</v>
      </c>
      <c r="C7" s="66">
        <v>0</v>
      </c>
    </row>
    <row r="8" spans="1:4" x14ac:dyDescent="0.35">
      <c r="A8" s="13"/>
      <c r="B8" s="4" t="s">
        <v>8</v>
      </c>
      <c r="C8" s="37">
        <f>'Ann 1'!C39</f>
        <v>48.6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9"/>
  <sheetViews>
    <sheetView topLeftCell="A2" workbookViewId="0">
      <selection activeCell="F17" sqref="F17"/>
    </sheetView>
  </sheetViews>
  <sheetFormatPr defaultRowHeight="14.5" x14ac:dyDescent="0.35"/>
  <cols>
    <col min="1" max="1" width="3.6328125" customWidth="1"/>
    <col min="2" max="2" width="33.54296875" customWidth="1"/>
    <col min="4" max="4" width="12.7265625" bestFit="1" customWidth="1"/>
    <col min="6" max="6" width="10.54296875" customWidth="1"/>
    <col min="7" max="7" width="11.1796875" bestFit="1" customWidth="1"/>
    <col min="9" max="9" width="9.1796875" bestFit="1" customWidth="1"/>
  </cols>
  <sheetData>
    <row r="1" spans="1:7" x14ac:dyDescent="0.35">
      <c r="A1" s="22" t="s">
        <v>30</v>
      </c>
    </row>
    <row r="3" spans="1:7" x14ac:dyDescent="0.35">
      <c r="A3" s="36" t="s">
        <v>248</v>
      </c>
      <c r="B3" s="32"/>
      <c r="C3" s="32"/>
      <c r="D3" s="32"/>
      <c r="E3" s="32" t="s">
        <v>31</v>
      </c>
      <c r="F3" s="32"/>
      <c r="G3" s="78" t="s">
        <v>32</v>
      </c>
    </row>
    <row r="4" spans="1:7" ht="29" x14ac:dyDescent="0.35">
      <c r="A4" s="43">
        <v>1</v>
      </c>
      <c r="B4" s="101" t="s">
        <v>272</v>
      </c>
      <c r="C4" s="45"/>
      <c r="D4" s="91"/>
      <c r="E4" s="91">
        <v>1</v>
      </c>
      <c r="F4" s="92"/>
      <c r="G4" s="93">
        <v>225000</v>
      </c>
    </row>
    <row r="5" spans="1:7" x14ac:dyDescent="0.35">
      <c r="A5" s="19" t="s">
        <v>34</v>
      </c>
      <c r="B5" s="20"/>
      <c r="C5" s="20"/>
      <c r="D5" s="20"/>
      <c r="E5" s="20"/>
      <c r="F5" s="20"/>
      <c r="G5" s="21">
        <f>G4</f>
        <v>225000</v>
      </c>
    </row>
    <row r="6" spans="1:7" x14ac:dyDescent="0.35">
      <c r="A6" s="13"/>
      <c r="B6" s="4"/>
      <c r="C6" s="4"/>
      <c r="D6" s="4"/>
      <c r="E6" s="4"/>
      <c r="F6" s="4"/>
      <c r="G6" s="98"/>
    </row>
    <row r="7" spans="1:7" x14ac:dyDescent="0.35">
      <c r="A7" s="36" t="s">
        <v>33</v>
      </c>
      <c r="B7" s="32"/>
      <c r="C7" s="32"/>
      <c r="D7" s="32"/>
      <c r="E7" s="32" t="s">
        <v>31</v>
      </c>
      <c r="F7" s="32"/>
      <c r="G7" s="78" t="s">
        <v>32</v>
      </c>
    </row>
    <row r="8" spans="1:7" x14ac:dyDescent="0.35">
      <c r="A8" s="43">
        <v>1</v>
      </c>
      <c r="B8" s="39" t="s">
        <v>255</v>
      </c>
      <c r="C8" s="45"/>
      <c r="D8" s="91"/>
      <c r="E8" s="91">
        <v>5</v>
      </c>
      <c r="F8" s="92"/>
      <c r="G8" s="93">
        <f>490000*E8</f>
        <v>2450000</v>
      </c>
    </row>
    <row r="9" spans="1:7" x14ac:dyDescent="0.35">
      <c r="A9" s="14">
        <v>2</v>
      </c>
      <c r="B9" s="100" t="s">
        <v>256</v>
      </c>
      <c r="C9" s="5"/>
      <c r="D9" s="39"/>
      <c r="E9" s="39">
        <v>1</v>
      </c>
      <c r="F9" s="17"/>
      <c r="G9" s="94">
        <v>110000</v>
      </c>
    </row>
    <row r="10" spans="1:7" x14ac:dyDescent="0.35">
      <c r="A10" s="14">
        <v>4</v>
      </c>
      <c r="B10" s="39" t="s">
        <v>257</v>
      </c>
      <c r="C10" s="5"/>
      <c r="D10" s="39"/>
      <c r="E10" s="39">
        <v>1</v>
      </c>
      <c r="F10" s="17"/>
      <c r="G10" s="94">
        <v>26000</v>
      </c>
    </row>
    <row r="11" spans="1:7" x14ac:dyDescent="0.35">
      <c r="A11" s="14">
        <v>5</v>
      </c>
      <c r="B11" s="39" t="s">
        <v>258</v>
      </c>
      <c r="C11" s="5"/>
      <c r="D11" s="39"/>
      <c r="E11" s="39">
        <v>1</v>
      </c>
      <c r="F11" s="17"/>
      <c r="G11" s="94">
        <v>30000</v>
      </c>
    </row>
    <row r="12" spans="1:7" x14ac:dyDescent="0.35">
      <c r="A12" s="14">
        <v>6</v>
      </c>
      <c r="B12" s="39" t="s">
        <v>259</v>
      </c>
      <c r="C12" s="5"/>
      <c r="D12" s="39"/>
      <c r="E12" s="39">
        <v>1</v>
      </c>
      <c r="F12" s="17"/>
      <c r="G12" s="94">
        <v>30000</v>
      </c>
    </row>
    <row r="13" spans="1:7" x14ac:dyDescent="0.35">
      <c r="A13" s="14">
        <v>7</v>
      </c>
      <c r="B13" s="39" t="s">
        <v>260</v>
      </c>
      <c r="C13" s="5"/>
      <c r="D13" s="39"/>
      <c r="E13" s="39">
        <v>1</v>
      </c>
      <c r="F13" s="17"/>
      <c r="G13" s="94">
        <v>30000</v>
      </c>
    </row>
    <row r="14" spans="1:7" x14ac:dyDescent="0.35">
      <c r="A14" s="14">
        <v>8</v>
      </c>
      <c r="B14" s="39" t="s">
        <v>261</v>
      </c>
      <c r="C14" s="5"/>
      <c r="D14" s="39"/>
      <c r="E14" s="39">
        <v>1</v>
      </c>
      <c r="F14" s="17"/>
      <c r="G14" s="94">
        <v>30000</v>
      </c>
    </row>
    <row r="15" spans="1:7" x14ac:dyDescent="0.35">
      <c r="A15" s="14">
        <v>9</v>
      </c>
      <c r="B15" s="39" t="s">
        <v>262</v>
      </c>
      <c r="C15" s="5"/>
      <c r="D15" s="39"/>
      <c r="E15" s="39">
        <v>1</v>
      </c>
      <c r="F15" s="17"/>
      <c r="G15" s="94">
        <v>12000</v>
      </c>
    </row>
    <row r="16" spans="1:7" x14ac:dyDescent="0.35">
      <c r="A16" s="14">
        <v>10</v>
      </c>
      <c r="B16" s="39" t="s">
        <v>263</v>
      </c>
      <c r="C16" s="5"/>
      <c r="D16" s="39"/>
      <c r="E16" s="39">
        <v>1</v>
      </c>
      <c r="F16" s="17"/>
      <c r="G16" s="94">
        <v>200000</v>
      </c>
    </row>
    <row r="17" spans="1:7" x14ac:dyDescent="0.35">
      <c r="A17" s="14">
        <v>11</v>
      </c>
      <c r="B17" s="39" t="s">
        <v>264</v>
      </c>
      <c r="C17" s="5"/>
      <c r="D17" s="39"/>
      <c r="E17" s="39">
        <v>10</v>
      </c>
      <c r="F17" s="17"/>
      <c r="G17" s="94">
        <f>150000*E17</f>
        <v>1500000</v>
      </c>
    </row>
    <row r="18" spans="1:7" x14ac:dyDescent="0.35">
      <c r="A18" s="14">
        <v>12</v>
      </c>
      <c r="B18" s="39" t="s">
        <v>265</v>
      </c>
      <c r="C18" s="5"/>
      <c r="D18" s="39"/>
      <c r="E18" s="39">
        <v>1</v>
      </c>
      <c r="F18" s="17"/>
      <c r="G18" s="94">
        <v>80000</v>
      </c>
    </row>
    <row r="19" spans="1:7" x14ac:dyDescent="0.35">
      <c r="A19" s="14">
        <v>13</v>
      </c>
      <c r="B19" s="39" t="s">
        <v>266</v>
      </c>
      <c r="C19" s="5"/>
      <c r="D19" s="39"/>
      <c r="E19" s="39">
        <v>1</v>
      </c>
      <c r="F19" s="17"/>
      <c r="G19" s="94">
        <v>8000</v>
      </c>
    </row>
    <row r="20" spans="1:7" x14ac:dyDescent="0.35">
      <c r="A20" s="14">
        <v>14</v>
      </c>
      <c r="B20" s="39" t="s">
        <v>267</v>
      </c>
      <c r="C20" s="5"/>
      <c r="D20" s="39"/>
      <c r="E20" s="39">
        <v>1</v>
      </c>
      <c r="F20" s="17"/>
      <c r="G20" s="94">
        <v>90000</v>
      </c>
    </row>
    <row r="21" spans="1:7" x14ac:dyDescent="0.35">
      <c r="A21" s="14">
        <v>15</v>
      </c>
      <c r="B21" s="39" t="s">
        <v>268</v>
      </c>
      <c r="C21" s="5"/>
      <c r="D21" s="39"/>
      <c r="E21" s="39">
        <v>1</v>
      </c>
      <c r="F21" s="17"/>
      <c r="G21" s="94">
        <v>8000</v>
      </c>
    </row>
    <row r="22" spans="1:7" x14ac:dyDescent="0.35">
      <c r="A22" s="14">
        <v>16</v>
      </c>
      <c r="B22" s="39" t="s">
        <v>269</v>
      </c>
      <c r="C22" s="5"/>
      <c r="D22" s="39"/>
      <c r="E22" s="39">
        <v>1</v>
      </c>
      <c r="F22" s="17"/>
      <c r="G22" s="94">
        <v>5000</v>
      </c>
    </row>
    <row r="23" spans="1:7" x14ac:dyDescent="0.35">
      <c r="A23" s="14">
        <v>17</v>
      </c>
      <c r="B23" s="39" t="s">
        <v>270</v>
      </c>
      <c r="C23" s="5"/>
      <c r="D23" s="39"/>
      <c r="E23" s="39">
        <v>1</v>
      </c>
      <c r="F23" s="17"/>
      <c r="G23" s="94">
        <v>4000</v>
      </c>
    </row>
    <row r="24" spans="1:7" x14ac:dyDescent="0.35">
      <c r="A24" s="14">
        <v>18</v>
      </c>
      <c r="B24" s="39" t="s">
        <v>271</v>
      </c>
      <c r="C24" s="50"/>
      <c r="D24" s="95"/>
      <c r="E24" s="39">
        <v>1</v>
      </c>
      <c r="F24" s="96"/>
      <c r="G24" s="97">
        <v>22000</v>
      </c>
    </row>
    <row r="25" spans="1:7" s="22" customFormat="1" x14ac:dyDescent="0.35">
      <c r="A25" s="19" t="s">
        <v>34</v>
      </c>
      <c r="B25" s="20"/>
      <c r="C25" s="20"/>
      <c r="D25" s="20"/>
      <c r="E25" s="20"/>
      <c r="F25" s="20"/>
      <c r="G25" s="21">
        <f>SUM(G8:G24)</f>
        <v>4635000</v>
      </c>
    </row>
    <row r="26" spans="1:7" x14ac:dyDescent="0.35">
      <c r="A26" s="14"/>
      <c r="B26" s="5"/>
      <c r="C26" s="5"/>
      <c r="D26" s="5"/>
      <c r="E26" s="5"/>
      <c r="F26" s="5"/>
      <c r="G26" s="6"/>
    </row>
    <row r="27" spans="1:7" s="22" customFormat="1" x14ac:dyDescent="0.35">
      <c r="A27" s="19" t="s">
        <v>35</v>
      </c>
      <c r="B27" s="20"/>
      <c r="C27" s="20"/>
      <c r="D27" s="20"/>
      <c r="E27" s="20"/>
      <c r="F27" s="20"/>
      <c r="G27" s="21">
        <f>G25+G5</f>
        <v>4860000</v>
      </c>
    </row>
    <row r="28" spans="1:7" x14ac:dyDescent="0.35">
      <c r="G28" s="24"/>
    </row>
    <row r="29" spans="1:7" x14ac:dyDescent="0.35">
      <c r="G29"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1"/>
  <sheetViews>
    <sheetView topLeftCell="C20" workbookViewId="0">
      <selection activeCell="G31" sqref="G31:K31"/>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08" t="s">
        <v>48</v>
      </c>
      <c r="D3" s="108"/>
      <c r="E3" s="108"/>
      <c r="F3" s="108"/>
      <c r="G3" s="108"/>
      <c r="H3" s="108"/>
      <c r="I3" s="108"/>
      <c r="J3" s="108"/>
      <c r="K3" s="108"/>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188</v>
      </c>
      <c r="C7" s="30">
        <f>90000+C40</f>
        <v>390000</v>
      </c>
      <c r="D7" s="30">
        <f t="shared" ref="D7:K7" si="0">160000+D40</f>
        <v>475000</v>
      </c>
      <c r="E7" s="30">
        <f t="shared" si="0"/>
        <v>490750</v>
      </c>
      <c r="F7" s="30">
        <f t="shared" si="0"/>
        <v>507287.5</v>
      </c>
      <c r="G7" s="30">
        <f t="shared" si="0"/>
        <v>524651.875</v>
      </c>
      <c r="H7" s="30">
        <f t="shared" si="0"/>
        <v>542884.46875</v>
      </c>
      <c r="I7" s="30">
        <f t="shared" si="0"/>
        <v>562028.69218749995</v>
      </c>
      <c r="J7" s="30">
        <f t="shared" si="0"/>
        <v>562028.69218749995</v>
      </c>
      <c r="K7" s="30">
        <f t="shared" si="0"/>
        <v>562028.69218749995</v>
      </c>
    </row>
    <row r="8" spans="1:11" x14ac:dyDescent="0.35">
      <c r="A8" s="12"/>
      <c r="B8" s="12" t="s">
        <v>279</v>
      </c>
      <c r="C8" s="30">
        <f>'Ann 6'!$B$17*70%</f>
        <v>5512500</v>
      </c>
      <c r="D8" s="30">
        <f>'Ann 6'!$B$17*75%</f>
        <v>5906250</v>
      </c>
      <c r="E8" s="30">
        <f>'Ann 6'!$B$17*80%</f>
        <v>6300000</v>
      </c>
      <c r="F8" s="30">
        <f>'Ann 6'!$B$17*85%</f>
        <v>6693750</v>
      </c>
      <c r="G8" s="30">
        <f>'Ann 6'!$B$17*90%</f>
        <v>7087500</v>
      </c>
      <c r="H8" s="30">
        <f>'Ann 6'!$B$17*95%</f>
        <v>7481250</v>
      </c>
      <c r="I8" s="30">
        <f>'Ann 6'!$B$17</f>
        <v>7875000</v>
      </c>
      <c r="J8" s="30">
        <f>'Ann 6'!$B$17</f>
        <v>7875000</v>
      </c>
      <c r="K8" s="30">
        <f>'Ann 6'!$B$17</f>
        <v>7875000</v>
      </c>
    </row>
    <row r="9" spans="1:11" x14ac:dyDescent="0.35">
      <c r="A9" s="12"/>
      <c r="B9" s="12" t="s">
        <v>278</v>
      </c>
      <c r="C9" s="30">
        <f>2%*'Ann 3'!G25</f>
        <v>92700</v>
      </c>
      <c r="D9" s="30">
        <f>C9*1.02</f>
        <v>94554</v>
      </c>
      <c r="E9" s="30">
        <f t="shared" ref="E9:K9" si="1">D9*1.02</f>
        <v>96445.08</v>
      </c>
      <c r="F9" s="30">
        <f t="shared" si="1"/>
        <v>98373.981599999999</v>
      </c>
      <c r="G9" s="30">
        <f t="shared" si="1"/>
        <v>100341.461232</v>
      </c>
      <c r="H9" s="30">
        <f t="shared" si="1"/>
        <v>102348.29045664001</v>
      </c>
      <c r="I9" s="30">
        <f t="shared" si="1"/>
        <v>104395.25626577281</v>
      </c>
      <c r="J9" s="30">
        <f t="shared" si="1"/>
        <v>106483.16139108827</v>
      </c>
      <c r="K9" s="30">
        <f t="shared" si="1"/>
        <v>108612.82461891005</v>
      </c>
    </row>
    <row r="10" spans="1:11" x14ac:dyDescent="0.35">
      <c r="A10" s="12"/>
      <c r="B10" s="12" t="s">
        <v>304</v>
      </c>
      <c r="C10" s="30">
        <f>C19*5%</f>
        <v>645750</v>
      </c>
      <c r="D10" s="30">
        <f t="shared" ref="D10:K10" si="2">D19*5%</f>
        <v>658665</v>
      </c>
      <c r="E10" s="30">
        <f t="shared" si="2"/>
        <v>671838.29999999993</v>
      </c>
      <c r="F10" s="30">
        <f t="shared" si="2"/>
        <v>685275.06599999999</v>
      </c>
      <c r="G10" s="30">
        <f t="shared" si="2"/>
        <v>698980.56731999991</v>
      </c>
      <c r="H10" s="30">
        <f t="shared" si="2"/>
        <v>712960.17866639991</v>
      </c>
      <c r="I10" s="30">
        <f t="shared" si="2"/>
        <v>727219.38223972789</v>
      </c>
      <c r="J10" s="30">
        <f t="shared" si="2"/>
        <v>741763.76988452254</v>
      </c>
      <c r="K10" s="30">
        <f t="shared" si="2"/>
        <v>756599.04528221302</v>
      </c>
    </row>
    <row r="11" spans="1:11" x14ac:dyDescent="0.35">
      <c r="A11" s="12"/>
      <c r="B11" s="12" t="s">
        <v>190</v>
      </c>
      <c r="C11" s="30">
        <f t="shared" ref="C11:K11" si="3">SUM(C7:C10)</f>
        <v>6640950</v>
      </c>
      <c r="D11" s="30">
        <f t="shared" si="3"/>
        <v>7134469</v>
      </c>
      <c r="E11" s="30">
        <f t="shared" si="3"/>
        <v>7559033.3799999999</v>
      </c>
      <c r="F11" s="30">
        <f t="shared" si="3"/>
        <v>7984686.5475999992</v>
      </c>
      <c r="G11" s="30">
        <f t="shared" si="3"/>
        <v>8411473.9035519995</v>
      </c>
      <c r="H11" s="30">
        <f t="shared" si="3"/>
        <v>8839442.9378730394</v>
      </c>
      <c r="I11" s="30">
        <f t="shared" si="3"/>
        <v>9268643.3306929991</v>
      </c>
      <c r="J11" s="30">
        <f t="shared" si="3"/>
        <v>9285275.623463111</v>
      </c>
      <c r="K11" s="30">
        <f t="shared" si="3"/>
        <v>9302240.5620886218</v>
      </c>
    </row>
    <row r="12" spans="1:11" x14ac:dyDescent="0.35">
      <c r="A12" s="12"/>
      <c r="B12" s="12" t="s">
        <v>191</v>
      </c>
      <c r="C12" s="30">
        <f>SUM(C11)</f>
        <v>6640950</v>
      </c>
      <c r="D12" s="30">
        <f t="shared" ref="D12:K12" si="4">SUM(D11)</f>
        <v>7134469</v>
      </c>
      <c r="E12" s="30">
        <f t="shared" si="4"/>
        <v>7559033.3799999999</v>
      </c>
      <c r="F12" s="30">
        <f t="shared" si="4"/>
        <v>7984686.5475999992</v>
      </c>
      <c r="G12" s="30">
        <f t="shared" si="4"/>
        <v>8411473.9035519995</v>
      </c>
      <c r="H12" s="30">
        <f t="shared" si="4"/>
        <v>8839442.9378730394</v>
      </c>
      <c r="I12" s="30">
        <f t="shared" si="4"/>
        <v>9268643.3306929991</v>
      </c>
      <c r="J12" s="30">
        <f t="shared" si="4"/>
        <v>9285275.623463111</v>
      </c>
      <c r="K12" s="30">
        <f t="shared" si="4"/>
        <v>9302240.5620886218</v>
      </c>
    </row>
    <row r="13" spans="1:11" x14ac:dyDescent="0.35">
      <c r="A13" s="12"/>
      <c r="B13" s="12"/>
      <c r="C13" s="30"/>
      <c r="D13" s="30"/>
      <c r="E13" s="30"/>
      <c r="F13" s="30"/>
      <c r="G13" s="30"/>
      <c r="H13" s="30"/>
      <c r="I13" s="30"/>
      <c r="J13" s="30"/>
      <c r="K13" s="30"/>
    </row>
    <row r="14" spans="1:11" x14ac:dyDescent="0.35">
      <c r="A14" s="12"/>
      <c r="B14" s="12" t="s">
        <v>51</v>
      </c>
      <c r="C14" s="30">
        <f>'Ann 8'!E13</f>
        <v>2456400</v>
      </c>
      <c r="D14" s="30">
        <f>1.06*C14</f>
        <v>2603784</v>
      </c>
      <c r="E14" s="30">
        <f t="shared" ref="E14:K14" si="5">1.06*D14</f>
        <v>2760011.04</v>
      </c>
      <c r="F14" s="30">
        <f t="shared" si="5"/>
        <v>2925611.7024000003</v>
      </c>
      <c r="G14" s="30">
        <f t="shared" si="5"/>
        <v>3101148.4045440005</v>
      </c>
      <c r="H14" s="30">
        <f t="shared" si="5"/>
        <v>3287217.3088166406</v>
      </c>
      <c r="I14" s="30">
        <f t="shared" si="5"/>
        <v>3484450.347345639</v>
      </c>
      <c r="J14" s="30">
        <f t="shared" si="5"/>
        <v>3693517.3681863775</v>
      </c>
      <c r="K14" s="30">
        <f t="shared" si="5"/>
        <v>3915128.4102775604</v>
      </c>
    </row>
    <row r="15" spans="1:11" x14ac:dyDescent="0.35">
      <c r="A15" s="12"/>
      <c r="B15" s="12" t="s">
        <v>252</v>
      </c>
      <c r="C15" s="30">
        <f>200000+(C19*1%)</f>
        <v>329150</v>
      </c>
      <c r="D15" s="30">
        <f t="shared" ref="D15:F15" si="6">200000+(D19*1%)</f>
        <v>331733</v>
      </c>
      <c r="E15" s="30">
        <f t="shared" si="6"/>
        <v>334367.65999999997</v>
      </c>
      <c r="F15" s="30">
        <f t="shared" si="6"/>
        <v>337055.01319999999</v>
      </c>
      <c r="G15" s="30">
        <f>(200000*1.2)+(G19*1%)</f>
        <v>379796.11346399999</v>
      </c>
      <c r="H15" s="30">
        <f t="shared" ref="H15:K15" si="7">(200000*1.2)+(H19*1%)</f>
        <v>382592.03573328</v>
      </c>
      <c r="I15" s="30">
        <f t="shared" si="7"/>
        <v>385443.8764479456</v>
      </c>
      <c r="J15" s="30">
        <f t="shared" si="7"/>
        <v>388352.7539769045</v>
      </c>
      <c r="K15" s="30">
        <f t="shared" si="7"/>
        <v>391319.80905644258</v>
      </c>
    </row>
    <row r="16" spans="1:11" x14ac:dyDescent="0.35">
      <c r="A16" s="12"/>
      <c r="B16" s="12" t="s">
        <v>8</v>
      </c>
      <c r="C16" s="30">
        <f t="shared" ref="C16:K16" si="8">SUM(C14:C15)</f>
        <v>2785550</v>
      </c>
      <c r="D16" s="30">
        <f t="shared" si="8"/>
        <v>2935517</v>
      </c>
      <c r="E16" s="30">
        <f t="shared" si="8"/>
        <v>3094378.7</v>
      </c>
      <c r="F16" s="30">
        <f t="shared" si="8"/>
        <v>3262666.7156000002</v>
      </c>
      <c r="G16" s="30">
        <f t="shared" si="8"/>
        <v>3480944.5180080007</v>
      </c>
      <c r="H16" s="30">
        <f t="shared" si="8"/>
        <v>3669809.3445499204</v>
      </c>
      <c r="I16" s="30">
        <f t="shared" si="8"/>
        <v>3869894.2237935849</v>
      </c>
      <c r="J16" s="30">
        <f t="shared" si="8"/>
        <v>4081870.1221632818</v>
      </c>
      <c r="K16" s="30">
        <f t="shared" si="8"/>
        <v>4306448.2193340026</v>
      </c>
    </row>
    <row r="17" spans="1:11" x14ac:dyDescent="0.35">
      <c r="A17" s="12"/>
      <c r="B17" s="12"/>
      <c r="C17" s="30"/>
      <c r="D17" s="30"/>
      <c r="E17" s="30"/>
      <c r="F17" s="30"/>
      <c r="G17" s="30"/>
      <c r="H17" s="30"/>
      <c r="I17" s="30"/>
      <c r="J17" s="30"/>
      <c r="K17" s="30"/>
    </row>
    <row r="18" spans="1:11" x14ac:dyDescent="0.35">
      <c r="A18" s="12"/>
      <c r="B18" s="12" t="s">
        <v>91</v>
      </c>
      <c r="C18" s="30">
        <f t="shared" ref="C18:K18" si="9">C16+C12</f>
        <v>9426500</v>
      </c>
      <c r="D18" s="30">
        <f t="shared" si="9"/>
        <v>10069986</v>
      </c>
      <c r="E18" s="30">
        <f t="shared" si="9"/>
        <v>10653412.08</v>
      </c>
      <c r="F18" s="30">
        <f t="shared" si="9"/>
        <v>11247353.2632</v>
      </c>
      <c r="G18" s="30">
        <f t="shared" si="9"/>
        <v>11892418.421560001</v>
      </c>
      <c r="H18" s="30">
        <f t="shared" si="9"/>
        <v>12509252.28242296</v>
      </c>
      <c r="I18" s="30">
        <f t="shared" si="9"/>
        <v>13138537.554486584</v>
      </c>
      <c r="J18" s="30">
        <f t="shared" si="9"/>
        <v>13367145.745626394</v>
      </c>
      <c r="K18" s="30">
        <f t="shared" si="9"/>
        <v>13608688.781422624</v>
      </c>
    </row>
    <row r="19" spans="1:11" x14ac:dyDescent="0.35">
      <c r="A19" s="12"/>
      <c r="B19" s="12" t="s">
        <v>92</v>
      </c>
      <c r="C19" s="30">
        <f>Budgets!B7</f>
        <v>12914999.999999998</v>
      </c>
      <c r="D19" s="30">
        <f>Budgets!C7</f>
        <v>13173299.999999998</v>
      </c>
      <c r="E19" s="30">
        <f>Budgets!D7</f>
        <v>13436765.999999998</v>
      </c>
      <c r="F19" s="30">
        <f>Budgets!E7</f>
        <v>13705501.319999998</v>
      </c>
      <c r="G19" s="30">
        <f>Budgets!F7</f>
        <v>13979611.346399998</v>
      </c>
      <c r="H19" s="30">
        <f>Budgets!G7</f>
        <v>14259203.573327998</v>
      </c>
      <c r="I19" s="30">
        <f>Budgets!H7</f>
        <v>14544387.644794557</v>
      </c>
      <c r="J19" s="30">
        <f>Budgets!I7</f>
        <v>14835275.397690449</v>
      </c>
      <c r="K19" s="30">
        <f>Budgets!J7</f>
        <v>15131980.905644258</v>
      </c>
    </row>
    <row r="20" spans="1:11" x14ac:dyDescent="0.35">
      <c r="A20" s="12"/>
      <c r="B20" s="12" t="s">
        <v>93</v>
      </c>
      <c r="C20" s="30">
        <f>C19-C18</f>
        <v>3488499.9999999981</v>
      </c>
      <c r="D20" s="30">
        <f t="shared" ref="D20:K20" si="10">D19-D18</f>
        <v>3103313.9999999981</v>
      </c>
      <c r="E20" s="30">
        <f t="shared" si="10"/>
        <v>2783353.9199999981</v>
      </c>
      <c r="F20" s="30">
        <f t="shared" si="10"/>
        <v>2458148.0567999985</v>
      </c>
      <c r="G20" s="30">
        <f t="shared" si="10"/>
        <v>2087192.9248399977</v>
      </c>
      <c r="H20" s="30">
        <f t="shared" si="10"/>
        <v>1749951.2909050379</v>
      </c>
      <c r="I20" s="30">
        <f t="shared" si="10"/>
        <v>1405850.0903079733</v>
      </c>
      <c r="J20" s="30">
        <f t="shared" si="10"/>
        <v>1468129.6520640552</v>
      </c>
      <c r="K20" s="30">
        <f t="shared" si="10"/>
        <v>1523292.1242216341</v>
      </c>
    </row>
    <row r="21" spans="1:11" x14ac:dyDescent="0.35">
      <c r="A21" s="12"/>
      <c r="B21" s="12"/>
      <c r="C21" s="30"/>
      <c r="D21" s="30"/>
      <c r="E21" s="30"/>
      <c r="F21" s="30"/>
      <c r="G21" s="30"/>
      <c r="H21" s="30"/>
      <c r="I21" s="30"/>
      <c r="J21" s="30"/>
      <c r="K21" s="30"/>
    </row>
    <row r="22" spans="1:11" x14ac:dyDescent="0.35">
      <c r="A22" s="12"/>
      <c r="B22" s="12" t="s">
        <v>94</v>
      </c>
      <c r="C22" s="30"/>
      <c r="D22" s="30"/>
      <c r="E22" s="30"/>
      <c r="F22" s="30"/>
      <c r="G22" s="30"/>
      <c r="H22" s="30"/>
      <c r="I22" s="30"/>
      <c r="J22" s="30"/>
      <c r="K22" s="30"/>
    </row>
    <row r="23" spans="1:11" x14ac:dyDescent="0.35">
      <c r="A23" s="12"/>
      <c r="B23" s="12" t="s">
        <v>95</v>
      </c>
      <c r="C23" s="30">
        <f>SUM('Ann 13'!E10:E13)*100000</f>
        <v>259917</v>
      </c>
      <c r="D23" s="30">
        <f>SUM('Ann 13'!E14:E17)*100000</f>
        <v>227117.99999999997</v>
      </c>
      <c r="E23" s="30">
        <f>SUM('Ann 13'!E18:E21)*100000</f>
        <v>186749.99999999994</v>
      </c>
      <c r="F23" s="30">
        <f>SUM('Ann 13'!E22:E25)*100000</f>
        <v>146381.99999999997</v>
      </c>
      <c r="G23" s="30">
        <f>SUM('Ann 13'!E26:E29)*100000</f>
        <v>30288</v>
      </c>
      <c r="H23" s="30">
        <f>SUM('Ann 13'!E30:E33)*100000</f>
        <v>0</v>
      </c>
      <c r="I23" s="30">
        <f>SUM('Ann 13'!E34:E37)*100000</f>
        <v>0</v>
      </c>
      <c r="J23" s="30">
        <v>0</v>
      </c>
      <c r="K23" s="30">
        <v>0</v>
      </c>
    </row>
    <row r="24" spans="1:11" x14ac:dyDescent="0.35">
      <c r="A24" s="12"/>
      <c r="B24" s="12" t="s">
        <v>171</v>
      </c>
      <c r="C24" s="30">
        <v>0</v>
      </c>
      <c r="D24" s="30">
        <v>0</v>
      </c>
      <c r="E24" s="30">
        <v>0</v>
      </c>
      <c r="F24" s="30">
        <v>0</v>
      </c>
      <c r="G24" s="30">
        <v>0</v>
      </c>
      <c r="H24" s="30">
        <v>0</v>
      </c>
      <c r="I24" s="30">
        <v>0</v>
      </c>
      <c r="J24" s="30">
        <v>0</v>
      </c>
      <c r="K24" s="30">
        <v>0</v>
      </c>
    </row>
    <row r="25" spans="1:11" x14ac:dyDescent="0.35">
      <c r="A25" s="12"/>
      <c r="B25" s="41" t="s">
        <v>105</v>
      </c>
      <c r="C25" s="30">
        <f>SUM(C23:C24)</f>
        <v>259917</v>
      </c>
      <c r="D25" s="30">
        <f t="shared" ref="D25:K25" si="11">SUM(D23:D24)</f>
        <v>227117.99999999997</v>
      </c>
      <c r="E25" s="30">
        <f t="shared" si="11"/>
        <v>186749.99999999994</v>
      </c>
      <c r="F25" s="30">
        <f t="shared" si="11"/>
        <v>146381.99999999997</v>
      </c>
      <c r="G25" s="30">
        <f t="shared" si="11"/>
        <v>30288</v>
      </c>
      <c r="H25" s="30">
        <f t="shared" si="11"/>
        <v>0</v>
      </c>
      <c r="I25" s="30">
        <f t="shared" si="11"/>
        <v>0</v>
      </c>
      <c r="J25" s="30">
        <f t="shared" si="11"/>
        <v>0</v>
      </c>
      <c r="K25" s="30">
        <f t="shared" si="11"/>
        <v>0</v>
      </c>
    </row>
    <row r="26" spans="1:11" x14ac:dyDescent="0.35">
      <c r="A26" s="12"/>
      <c r="B26" s="12"/>
      <c r="C26" s="30"/>
      <c r="D26" s="30"/>
      <c r="E26" s="30"/>
      <c r="F26" s="30"/>
      <c r="G26" s="30"/>
      <c r="H26" s="30"/>
      <c r="I26" s="30"/>
      <c r="J26" s="30"/>
      <c r="K26" s="30"/>
    </row>
    <row r="27" spans="1:11" x14ac:dyDescent="0.35">
      <c r="A27" s="12"/>
      <c r="B27" s="12" t="s">
        <v>106</v>
      </c>
      <c r="C27" s="30">
        <f t="shared" ref="C27:K27" si="12">C20-C25</f>
        <v>3228582.9999999981</v>
      </c>
      <c r="D27" s="30">
        <f t="shared" si="12"/>
        <v>2876195.9999999981</v>
      </c>
      <c r="E27" s="30">
        <f t="shared" si="12"/>
        <v>2596603.9199999981</v>
      </c>
      <c r="F27" s="30">
        <f t="shared" si="12"/>
        <v>2311766.0567999985</v>
      </c>
      <c r="G27" s="30">
        <f t="shared" si="12"/>
        <v>2056904.9248399977</v>
      </c>
      <c r="H27" s="30">
        <f t="shared" si="12"/>
        <v>1749951.2909050379</v>
      </c>
      <c r="I27" s="30">
        <f t="shared" si="12"/>
        <v>1405850.0903079733</v>
      </c>
      <c r="J27" s="30">
        <f t="shared" si="12"/>
        <v>1468129.6520640552</v>
      </c>
      <c r="K27" s="30">
        <f t="shared" si="12"/>
        <v>1523292.1242216341</v>
      </c>
    </row>
    <row r="28" spans="1:11" x14ac:dyDescent="0.35">
      <c r="A28" s="12"/>
      <c r="B28" s="12" t="s">
        <v>195</v>
      </c>
      <c r="C28" s="30">
        <f>'Ann 1'!C35*100000</f>
        <v>0</v>
      </c>
      <c r="D28" s="30">
        <v>0</v>
      </c>
      <c r="E28" s="30">
        <v>0</v>
      </c>
      <c r="F28" s="30">
        <v>0</v>
      </c>
      <c r="G28" s="30">
        <v>0</v>
      </c>
      <c r="H28" s="30">
        <v>0</v>
      </c>
      <c r="I28" s="30">
        <v>0</v>
      </c>
      <c r="J28" s="30">
        <v>0</v>
      </c>
      <c r="K28" s="30">
        <v>0</v>
      </c>
    </row>
    <row r="29" spans="1:11" x14ac:dyDescent="0.35">
      <c r="A29" s="12"/>
      <c r="B29" s="41" t="s">
        <v>107</v>
      </c>
      <c r="C29" s="30">
        <f>'Ann 9'!C12+'Ann 9'!D12+'Ann 9'!E12</f>
        <v>717750</v>
      </c>
      <c r="D29" s="30">
        <f>'Ann 9'!C13+'Ann 9'!D13+'Ann 9'!E13</f>
        <v>611212.5</v>
      </c>
      <c r="E29" s="30">
        <f>'Ann 9'!C14+'Ann 9'!D14+'Ann 9'!E14</f>
        <v>520543.125</v>
      </c>
      <c r="F29" s="30">
        <f>'Ann 9'!C15+'Ann 9'!D15+'Ann 9'!E15</f>
        <v>443372.90625</v>
      </c>
      <c r="G29" s="30">
        <f>'Ann 9'!C16+'Ann 9'!D16+'Ann 9'!E16</f>
        <v>377687.09531249997</v>
      </c>
      <c r="H29" s="30">
        <f>'Ann 9'!C17+'Ann 9'!D17+'Ann 9'!E17</f>
        <v>321772.14351562504</v>
      </c>
      <c r="I29" s="30">
        <f>'Ann 9'!C18+'Ann 9'!D18+'Ann 9'!E18</f>
        <v>274170.62323828123</v>
      </c>
      <c r="J29" s="30">
        <f>'Ann 9'!C19+'Ann 9'!D19+'Ann 9'!E19</f>
        <v>233642.90087753907</v>
      </c>
      <c r="K29" s="30">
        <f>'Ann 9'!C20+'Ann 9'!D20+'Ann 9'!E20</f>
        <v>199134.54975840819</v>
      </c>
    </row>
    <row r="30" spans="1:11" x14ac:dyDescent="0.35">
      <c r="A30" s="12"/>
      <c r="B30" s="41" t="s">
        <v>318</v>
      </c>
      <c r="C30" s="30">
        <v>0</v>
      </c>
      <c r="D30" s="30">
        <v>0</v>
      </c>
      <c r="E30" s="30">
        <v>0</v>
      </c>
      <c r="F30" s="30">
        <v>0</v>
      </c>
      <c r="G30" s="30">
        <f>'Ann 13'!C27*100000</f>
        <v>1944000.0000000002</v>
      </c>
      <c r="H30" s="30">
        <v>0</v>
      </c>
      <c r="I30" s="30">
        <v>0</v>
      </c>
      <c r="J30" s="30">
        <v>0</v>
      </c>
      <c r="K30" s="30">
        <v>0</v>
      </c>
    </row>
    <row r="31" spans="1:11" x14ac:dyDescent="0.35">
      <c r="A31" s="12"/>
      <c r="B31" s="41" t="s">
        <v>108</v>
      </c>
      <c r="C31" s="30">
        <f>C27-C29-C28</f>
        <v>2510832.9999999981</v>
      </c>
      <c r="D31" s="30">
        <f t="shared" ref="D31:K31" si="13">D27-D29-D28</f>
        <v>2264983.4999999981</v>
      </c>
      <c r="E31" s="30">
        <f t="shared" si="13"/>
        <v>2076060.7949999981</v>
      </c>
      <c r="F31" s="30">
        <f t="shared" si="13"/>
        <v>1868393.1505499985</v>
      </c>
      <c r="G31" s="30">
        <f>G27-G29-G28+G30</f>
        <v>3623217.8295274982</v>
      </c>
      <c r="H31" s="30">
        <f t="shared" ref="H31:K31" si="14">H27-H29-H28+H30</f>
        <v>1428179.1473894129</v>
      </c>
      <c r="I31" s="30">
        <f t="shared" si="14"/>
        <v>1131679.467069692</v>
      </c>
      <c r="J31" s="30">
        <f t="shared" si="14"/>
        <v>1234486.7511865161</v>
      </c>
      <c r="K31" s="30">
        <f t="shared" si="14"/>
        <v>1324157.5744632259</v>
      </c>
    </row>
    <row r="32" spans="1:11" x14ac:dyDescent="0.35">
      <c r="A32" s="12"/>
      <c r="B32" s="41" t="s">
        <v>109</v>
      </c>
      <c r="C32" s="30">
        <f>'Ann 10'!B14</f>
        <v>753249.89999999944</v>
      </c>
      <c r="D32" s="30">
        <f>'Ann 10'!C14</f>
        <v>679495.04999999946</v>
      </c>
      <c r="E32" s="30">
        <f>'Ann 10'!D14</f>
        <v>622818.2384999994</v>
      </c>
      <c r="F32" s="30">
        <f>'Ann 10'!E14</f>
        <v>560517.94516499958</v>
      </c>
      <c r="G32" s="30">
        <f>'Ann 10'!F14</f>
        <v>503765.34885824932</v>
      </c>
      <c r="H32" s="30">
        <f>'Ann 10'!G14</f>
        <v>428453.74421682383</v>
      </c>
      <c r="I32" s="30">
        <f>'Ann 10'!H14</f>
        <v>339503.84012090758</v>
      </c>
      <c r="J32" s="30">
        <f>'Ann 10'!I14</f>
        <v>370346.02535595483</v>
      </c>
      <c r="K32" s="30">
        <f>'Ann 10'!J14</f>
        <v>397247.27233896777</v>
      </c>
    </row>
    <row r="33" spans="1:11" x14ac:dyDescent="0.35">
      <c r="A33" s="12"/>
      <c r="B33" s="41" t="s">
        <v>110</v>
      </c>
      <c r="C33" s="30">
        <f>C31-C32</f>
        <v>1757583.0999999987</v>
      </c>
      <c r="D33" s="30">
        <f>D31-D32</f>
        <v>1585488.4499999988</v>
      </c>
      <c r="E33" s="30">
        <f t="shared" ref="E33:K33" si="15">E31-E32</f>
        <v>1453242.5564999986</v>
      </c>
      <c r="F33" s="30">
        <f t="shared" si="15"/>
        <v>1307875.205384999</v>
      </c>
      <c r="G33" s="30">
        <f t="shared" si="15"/>
        <v>3119452.4806692488</v>
      </c>
      <c r="H33" s="30">
        <f t="shared" si="15"/>
        <v>999725.40317258902</v>
      </c>
      <c r="I33" s="30">
        <f t="shared" si="15"/>
        <v>792175.62694878434</v>
      </c>
      <c r="J33" s="30">
        <f t="shared" si="15"/>
        <v>864140.72583056125</v>
      </c>
      <c r="K33" s="30">
        <f t="shared" si="15"/>
        <v>926910.30212425813</v>
      </c>
    </row>
    <row r="34" spans="1:11" x14ac:dyDescent="0.35">
      <c r="A34" s="12"/>
      <c r="B34" s="41" t="s">
        <v>297</v>
      </c>
      <c r="C34" s="30">
        <f>C33*50%</f>
        <v>878791.54999999935</v>
      </c>
      <c r="D34" s="30">
        <f t="shared" ref="D34:K34" si="16">D33*50%</f>
        <v>792744.22499999939</v>
      </c>
      <c r="E34" s="30">
        <f t="shared" si="16"/>
        <v>726621.27824999928</v>
      </c>
      <c r="F34" s="30">
        <f t="shared" si="16"/>
        <v>653937.60269249952</v>
      </c>
      <c r="G34" s="30">
        <f t="shared" si="16"/>
        <v>1559726.2403346244</v>
      </c>
      <c r="H34" s="30">
        <f t="shared" si="16"/>
        <v>499862.70158629451</v>
      </c>
      <c r="I34" s="30">
        <f t="shared" si="16"/>
        <v>396087.81347439217</v>
      </c>
      <c r="J34" s="30">
        <f t="shared" si="16"/>
        <v>432070.36291528062</v>
      </c>
      <c r="K34" s="30">
        <f t="shared" si="16"/>
        <v>463455.15106212907</v>
      </c>
    </row>
    <row r="35" spans="1:11" x14ac:dyDescent="0.35">
      <c r="A35" s="12"/>
      <c r="B35" s="41" t="s">
        <v>120</v>
      </c>
      <c r="C35" s="30">
        <f>C33-C34</f>
        <v>878791.54999999935</v>
      </c>
      <c r="D35" s="30">
        <f t="shared" ref="D35:K35" si="17">D33-D34</f>
        <v>792744.22499999939</v>
      </c>
      <c r="E35" s="30">
        <f t="shared" si="17"/>
        <v>726621.27824999928</v>
      </c>
      <c r="F35" s="30">
        <f t="shared" si="17"/>
        <v>653937.60269249952</v>
      </c>
      <c r="G35" s="30">
        <f t="shared" si="17"/>
        <v>1559726.2403346244</v>
      </c>
      <c r="H35" s="30">
        <f t="shared" si="17"/>
        <v>499862.70158629451</v>
      </c>
      <c r="I35" s="30">
        <f t="shared" si="17"/>
        <v>396087.81347439217</v>
      </c>
      <c r="J35" s="30">
        <f t="shared" si="17"/>
        <v>432070.36291528062</v>
      </c>
      <c r="K35" s="30">
        <f t="shared" si="17"/>
        <v>463455.15106212907</v>
      </c>
    </row>
    <row r="37" spans="1:11" x14ac:dyDescent="0.35">
      <c r="A37" t="s">
        <v>311</v>
      </c>
    </row>
    <row r="38" spans="1:11" x14ac:dyDescent="0.35">
      <c r="A38" t="s">
        <v>312</v>
      </c>
    </row>
    <row r="39" spans="1:11" x14ac:dyDescent="0.35">
      <c r="B39" t="s">
        <v>189</v>
      </c>
      <c r="C39">
        <v>25000</v>
      </c>
      <c r="D39">
        <f>C39*1.05</f>
        <v>26250</v>
      </c>
      <c r="E39">
        <f t="shared" ref="E39:I39" si="18">D39*1.05</f>
        <v>27562.5</v>
      </c>
      <c r="F39">
        <f t="shared" si="18"/>
        <v>28940.625</v>
      </c>
      <c r="G39">
        <f t="shared" si="18"/>
        <v>30387.65625</v>
      </c>
      <c r="H39">
        <f t="shared" si="18"/>
        <v>31907.0390625</v>
      </c>
      <c r="I39">
        <f t="shared" si="18"/>
        <v>33502.391015624999</v>
      </c>
      <c r="J39">
        <f>I39</f>
        <v>33502.391015624999</v>
      </c>
      <c r="K39">
        <f>J39</f>
        <v>33502.391015624999</v>
      </c>
    </row>
    <row r="40" spans="1:11" x14ac:dyDescent="0.35">
      <c r="B40" t="s">
        <v>73</v>
      </c>
      <c r="C40">
        <f>C39*12</f>
        <v>300000</v>
      </c>
      <c r="D40">
        <f t="shared" ref="D40:K40" si="19">D39*12</f>
        <v>315000</v>
      </c>
      <c r="E40">
        <f t="shared" si="19"/>
        <v>330750</v>
      </c>
      <c r="F40">
        <f t="shared" si="19"/>
        <v>347287.5</v>
      </c>
      <c r="G40">
        <f t="shared" si="19"/>
        <v>364651.875</v>
      </c>
      <c r="H40">
        <f t="shared" si="19"/>
        <v>382884.46875</v>
      </c>
      <c r="I40">
        <f t="shared" si="19"/>
        <v>402028.69218749995</v>
      </c>
      <c r="J40">
        <f t="shared" si="19"/>
        <v>402028.69218749995</v>
      </c>
      <c r="K40">
        <f t="shared" si="19"/>
        <v>402028.69218749995</v>
      </c>
    </row>
    <row r="41" spans="1:11" x14ac:dyDescent="0.35">
      <c r="A41" t="s">
        <v>313</v>
      </c>
    </row>
  </sheetData>
  <mergeCells count="1">
    <mergeCell ref="C3:K3"/>
  </mergeCells>
  <pageMargins left="0.7" right="0.7" top="0.75" bottom="0.75" header="0.3" footer="0.3"/>
  <pageSetup scale="59"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9" workbookViewId="0">
      <selection activeCell="G35" sqref="G35"/>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121</v>
      </c>
    </row>
    <row r="3" spans="1:11" x14ac:dyDescent="0.35">
      <c r="A3" t="s">
        <v>122</v>
      </c>
    </row>
    <row r="5" spans="1:11" x14ac:dyDescent="0.35">
      <c r="A5" s="109" t="s">
        <v>37</v>
      </c>
      <c r="B5" s="109" t="s">
        <v>38</v>
      </c>
      <c r="C5" s="109" t="s">
        <v>48</v>
      </c>
      <c r="D5" s="109"/>
      <c r="E5" s="109"/>
      <c r="F5" s="109"/>
      <c r="G5" s="109"/>
      <c r="H5" s="109"/>
      <c r="I5" s="109"/>
      <c r="J5" s="109"/>
      <c r="K5" s="109"/>
    </row>
    <row r="6" spans="1:11" x14ac:dyDescent="0.35">
      <c r="A6" s="109"/>
      <c r="B6" s="109"/>
      <c r="C6" s="34" t="s">
        <v>39</v>
      </c>
      <c r="D6" s="34" t="s">
        <v>40</v>
      </c>
      <c r="E6" s="34" t="s">
        <v>41</v>
      </c>
      <c r="F6" s="34" t="s">
        <v>42</v>
      </c>
      <c r="G6" s="34" t="s">
        <v>43</v>
      </c>
      <c r="H6" s="34" t="s">
        <v>44</v>
      </c>
      <c r="I6" s="34" t="s">
        <v>45</v>
      </c>
      <c r="J6" s="34" t="s">
        <v>46</v>
      </c>
      <c r="K6" s="34" t="s">
        <v>47</v>
      </c>
    </row>
    <row r="7" spans="1:11" x14ac:dyDescent="0.35">
      <c r="A7" s="43" t="s">
        <v>156</v>
      </c>
      <c r="B7" s="44" t="s">
        <v>123</v>
      </c>
      <c r="C7" s="55"/>
      <c r="D7" s="55"/>
      <c r="E7" s="46"/>
      <c r="F7" s="46"/>
      <c r="G7" s="46"/>
      <c r="H7" s="46"/>
      <c r="I7" s="46"/>
      <c r="J7" s="46"/>
      <c r="K7" s="46"/>
    </row>
    <row r="8" spans="1:11" x14ac:dyDescent="0.35">
      <c r="A8" s="14">
        <v>1</v>
      </c>
      <c r="B8" s="5" t="s">
        <v>124</v>
      </c>
      <c r="C8" s="9"/>
      <c r="D8" s="9"/>
      <c r="E8" s="6"/>
      <c r="F8" s="6"/>
      <c r="G8" s="6"/>
      <c r="H8" s="6"/>
      <c r="I8" s="6"/>
      <c r="J8" s="6"/>
      <c r="K8" s="6"/>
    </row>
    <row r="9" spans="1:11" x14ac:dyDescent="0.35">
      <c r="A9" s="14"/>
      <c r="B9" s="5" t="s">
        <v>125</v>
      </c>
      <c r="C9" s="56">
        <f>'Ann 9'!C6+'Ann 9'!D6+'Ann 9'!E6</f>
        <v>4860000</v>
      </c>
      <c r="D9" s="58">
        <f>C11</f>
        <v>4142250</v>
      </c>
      <c r="E9" s="27">
        <f t="shared" ref="E9:K9" si="0">D11</f>
        <v>3531037.5</v>
      </c>
      <c r="F9" s="27">
        <f t="shared" si="0"/>
        <v>3010494.375</v>
      </c>
      <c r="G9" s="27">
        <f t="shared" si="0"/>
        <v>2567121.46875</v>
      </c>
      <c r="H9" s="27">
        <f t="shared" si="0"/>
        <v>2189434.3734375001</v>
      </c>
      <c r="I9" s="27">
        <f t="shared" si="0"/>
        <v>1867662.2299218751</v>
      </c>
      <c r="J9" s="27">
        <f t="shared" si="0"/>
        <v>1593491.6066835937</v>
      </c>
      <c r="K9" s="27">
        <f t="shared" si="0"/>
        <v>1359848.7058060546</v>
      </c>
    </row>
    <row r="10" spans="1:11" x14ac:dyDescent="0.35">
      <c r="A10" s="14"/>
      <c r="B10" s="5" t="s">
        <v>126</v>
      </c>
      <c r="C10" s="56">
        <f>'Ann 9'!C12+'Ann 9'!D12+'Ann 9'!E12</f>
        <v>717750</v>
      </c>
      <c r="D10" s="58">
        <f>'Ann 9'!C13+'Ann 9'!D13+'Ann 9'!E13</f>
        <v>611212.5</v>
      </c>
      <c r="E10" s="27">
        <f>'Ann 9'!C14+'Ann 9'!D14+'Ann 9'!E14</f>
        <v>520543.125</v>
      </c>
      <c r="F10" s="27">
        <f>'Ann 9'!C15+'Ann 9'!D15+'Ann 9'!E15</f>
        <v>443372.90625</v>
      </c>
      <c r="G10" s="27">
        <f>'Ann 9'!C16+'Ann 9'!D16+'Ann 9'!E16</f>
        <v>377687.09531249997</v>
      </c>
      <c r="H10" s="27">
        <f>'Ann 9'!C17+'Ann 9'!D17+'Ann 9'!E17</f>
        <v>321772.14351562504</v>
      </c>
      <c r="I10" s="27">
        <f>+'Ann 9'!C18+'Ann 9'!D18+'Ann 9'!E18</f>
        <v>274170.62323828123</v>
      </c>
      <c r="J10" s="27">
        <f>'Ann 9'!C19+'Ann 9'!D19+'Ann 9'!E19</f>
        <v>233642.90087753907</v>
      </c>
      <c r="K10" s="27">
        <f>+'Ann 9'!C20+'Ann 9'!D20+'Ann 9'!E20</f>
        <v>199134.54975840819</v>
      </c>
    </row>
    <row r="11" spans="1:11" x14ac:dyDescent="0.35">
      <c r="A11" s="14"/>
      <c r="B11" s="5" t="s">
        <v>127</v>
      </c>
      <c r="C11" s="56">
        <f>C9-C10</f>
        <v>4142250</v>
      </c>
      <c r="D11" s="58">
        <f>D9-D10</f>
        <v>3531037.5</v>
      </c>
      <c r="E11" s="27">
        <f t="shared" ref="E11:K11" si="1">E9-E10</f>
        <v>3010494.375</v>
      </c>
      <c r="F11" s="27">
        <f t="shared" si="1"/>
        <v>2567121.46875</v>
      </c>
      <c r="G11" s="27">
        <f t="shared" si="1"/>
        <v>2189434.3734375001</v>
      </c>
      <c r="H11" s="27">
        <f t="shared" si="1"/>
        <v>1867662.2299218751</v>
      </c>
      <c r="I11" s="27">
        <f t="shared" si="1"/>
        <v>1593491.6066835937</v>
      </c>
      <c r="J11" s="27">
        <f t="shared" si="1"/>
        <v>1359848.7058060546</v>
      </c>
      <c r="K11" s="27">
        <f t="shared" si="1"/>
        <v>1160714.1560476464</v>
      </c>
    </row>
    <row r="12" spans="1:11" x14ac:dyDescent="0.35">
      <c r="A12" s="14">
        <v>3</v>
      </c>
      <c r="B12" s="5" t="s">
        <v>128</v>
      </c>
      <c r="C12" s="56">
        <f>'Ann 4'!C19*30/300</f>
        <v>1291499.9999999998</v>
      </c>
      <c r="D12" s="56">
        <f>'Ann 4'!D19*30/300</f>
        <v>1317329.9999999998</v>
      </c>
      <c r="E12" s="56">
        <f>'Ann 4'!E19*30/300</f>
        <v>1343676.5999999999</v>
      </c>
      <c r="F12" s="56">
        <f>'Ann 4'!F19*30/300</f>
        <v>1370550.132</v>
      </c>
      <c r="G12" s="56">
        <f>'Ann 4'!G19*30/300</f>
        <v>1397961.1346399998</v>
      </c>
      <c r="H12" s="56">
        <f>'Ann 4'!H19*30/300</f>
        <v>1425920.3573327998</v>
      </c>
      <c r="I12" s="56">
        <f>'Ann 4'!I19*30/300</f>
        <v>1454438.7644794558</v>
      </c>
      <c r="J12" s="56">
        <f>'Ann 4'!J19*30/300</f>
        <v>1483527.5397690448</v>
      </c>
      <c r="K12" s="56">
        <f>'Ann 4'!K19*30/300</f>
        <v>1513198.0905644258</v>
      </c>
    </row>
    <row r="13" spans="1:11" x14ac:dyDescent="0.35">
      <c r="A13" s="14">
        <v>4</v>
      </c>
      <c r="B13" s="5" t="s">
        <v>129</v>
      </c>
      <c r="C13" s="57">
        <f>'Cash flows'!C19</f>
        <v>34471.549999999348</v>
      </c>
      <c r="D13" s="57">
        <f>'Cash flows'!D19</f>
        <v>740314.8749999979</v>
      </c>
      <c r="E13" s="57">
        <f>'Cash flows'!E19</f>
        <v>1288859.6102499978</v>
      </c>
      <c r="F13" s="57">
        <f>'Cash flows'!F19</f>
        <v>1687034.0578324981</v>
      </c>
      <c r="G13" s="57">
        <f>'Cash flows'!G19</f>
        <v>1586384.6108924234</v>
      </c>
      <c r="H13" s="57">
        <f>'Cash flows'!H19</f>
        <v>2380619.4177553994</v>
      </c>
      <c r="I13" s="57">
        <f>'Cash flows'!I19</f>
        <v>3022929.8154643485</v>
      </c>
      <c r="J13" s="57">
        <f>'Cash flows'!J19</f>
        <v>3660136.0794733721</v>
      </c>
      <c r="K13" s="57">
        <f>'Cash flows'!K19</f>
        <v>4293648.6405144371</v>
      </c>
    </row>
    <row r="14" spans="1:11" x14ac:dyDescent="0.35">
      <c r="A14" s="14"/>
      <c r="B14" s="5" t="s">
        <v>137</v>
      </c>
      <c r="C14" s="56">
        <f t="shared" ref="C14:K14" si="2">SUM(C11:C13)</f>
        <v>5468221.5499999989</v>
      </c>
      <c r="D14" s="56">
        <f t="shared" si="2"/>
        <v>5588682.3749999981</v>
      </c>
      <c r="E14" s="47">
        <f t="shared" si="2"/>
        <v>5643030.5852499977</v>
      </c>
      <c r="F14" s="47">
        <f t="shared" si="2"/>
        <v>5624705.6585824983</v>
      </c>
      <c r="G14" s="47">
        <f t="shared" si="2"/>
        <v>5173780.1189699229</v>
      </c>
      <c r="H14" s="47">
        <f t="shared" si="2"/>
        <v>5674202.005010074</v>
      </c>
      <c r="I14" s="47">
        <f t="shared" si="2"/>
        <v>6070860.1866273982</v>
      </c>
      <c r="J14" s="47">
        <f t="shared" si="2"/>
        <v>6503512.3250484709</v>
      </c>
      <c r="K14" s="47">
        <f t="shared" si="2"/>
        <v>6967560.8871265091</v>
      </c>
    </row>
    <row r="15" spans="1:11" x14ac:dyDescent="0.35">
      <c r="A15" s="14"/>
      <c r="B15" s="5"/>
      <c r="C15" s="56"/>
      <c r="D15" s="56"/>
      <c r="E15" s="47"/>
      <c r="F15" s="47"/>
      <c r="G15" s="47"/>
      <c r="H15" s="47"/>
      <c r="I15" s="47"/>
      <c r="J15" s="47"/>
      <c r="K15" s="47"/>
    </row>
    <row r="16" spans="1:11" x14ac:dyDescent="0.35">
      <c r="A16" s="14" t="s">
        <v>157</v>
      </c>
      <c r="B16" s="48" t="s">
        <v>130</v>
      </c>
      <c r="C16" s="9"/>
      <c r="D16" s="9"/>
      <c r="E16" s="6"/>
      <c r="F16" s="6"/>
      <c r="G16" s="6"/>
      <c r="H16" s="6"/>
      <c r="I16" s="6"/>
      <c r="J16" s="6"/>
      <c r="K16" s="6"/>
    </row>
    <row r="17" spans="1:13" x14ac:dyDescent="0.35">
      <c r="A17" s="14">
        <v>1</v>
      </c>
      <c r="B17" s="5" t="s">
        <v>131</v>
      </c>
      <c r="C17" s="57">
        <f>'Ann 2'!C4*100000</f>
        <v>486000.00000000006</v>
      </c>
      <c r="D17" s="57">
        <f>C20</f>
        <v>1364791.5499999993</v>
      </c>
      <c r="E17" s="18">
        <f t="shared" ref="E17:K17" si="3">D20</f>
        <v>2157535.7749999985</v>
      </c>
      <c r="F17" s="18">
        <f t="shared" si="3"/>
        <v>2884157.053249998</v>
      </c>
      <c r="G17" s="18">
        <f t="shared" si="3"/>
        <v>3538094.6559424978</v>
      </c>
      <c r="H17" s="18">
        <f t="shared" si="3"/>
        <v>5097820.8962771222</v>
      </c>
      <c r="I17" s="18">
        <f t="shared" si="3"/>
        <v>5597683.5978634171</v>
      </c>
      <c r="J17" s="18">
        <f t="shared" si="3"/>
        <v>5993771.4113378096</v>
      </c>
      <c r="K17" s="18">
        <f t="shared" si="3"/>
        <v>6425841.7742530899</v>
      </c>
    </row>
    <row r="18" spans="1:13" x14ac:dyDescent="0.35">
      <c r="A18" s="14"/>
      <c r="B18" s="5" t="s">
        <v>132</v>
      </c>
      <c r="C18" s="57">
        <f>'Ann 4'!C35</f>
        <v>878791.54999999935</v>
      </c>
      <c r="D18" s="57">
        <f>'Ann 4'!D35</f>
        <v>792744.22499999939</v>
      </c>
      <c r="E18" s="18">
        <f>'Ann 4'!E35</f>
        <v>726621.27824999928</v>
      </c>
      <c r="F18" s="18">
        <f>'Ann 4'!F35</f>
        <v>653937.60269249952</v>
      </c>
      <c r="G18" s="18">
        <f>'Ann 4'!G35</f>
        <v>1559726.2403346244</v>
      </c>
      <c r="H18" s="18">
        <f>'Ann 4'!H35</f>
        <v>499862.70158629451</v>
      </c>
      <c r="I18" s="18">
        <f>'Ann 4'!I35</f>
        <v>396087.81347439217</v>
      </c>
      <c r="J18" s="18">
        <f>'Ann 4'!J35</f>
        <v>432070.36291528062</v>
      </c>
      <c r="K18" s="18">
        <f>'Ann 4'!K35</f>
        <v>463455.15106212907</v>
      </c>
    </row>
    <row r="19" spans="1:13" x14ac:dyDescent="0.35">
      <c r="A19" s="14"/>
      <c r="B19" s="5" t="s">
        <v>133</v>
      </c>
      <c r="C19" s="57">
        <v>0</v>
      </c>
      <c r="D19" s="57">
        <v>0</v>
      </c>
      <c r="E19" s="18">
        <v>0</v>
      </c>
      <c r="F19" s="18">
        <v>0</v>
      </c>
      <c r="G19" s="18">
        <v>0</v>
      </c>
      <c r="H19" s="18">
        <v>0</v>
      </c>
      <c r="I19" s="18">
        <v>0</v>
      </c>
      <c r="J19" s="18">
        <v>0</v>
      </c>
      <c r="K19" s="18">
        <v>0</v>
      </c>
    </row>
    <row r="20" spans="1:13" x14ac:dyDescent="0.35">
      <c r="A20" s="14"/>
      <c r="B20" s="5" t="s">
        <v>134</v>
      </c>
      <c r="C20" s="57">
        <f>C17+C18</f>
        <v>1364791.5499999993</v>
      </c>
      <c r="D20" s="57">
        <f t="shared" ref="D20:K20" si="4">D17+D18</f>
        <v>2157535.7749999985</v>
      </c>
      <c r="E20" s="18">
        <f t="shared" si="4"/>
        <v>2884157.053249998</v>
      </c>
      <c r="F20" s="18">
        <f t="shared" si="4"/>
        <v>3538094.6559424978</v>
      </c>
      <c r="G20" s="18">
        <f t="shared" si="4"/>
        <v>5097820.8962771222</v>
      </c>
      <c r="H20" s="18">
        <f t="shared" si="4"/>
        <v>5597683.5978634171</v>
      </c>
      <c r="I20" s="18">
        <f t="shared" si="4"/>
        <v>5993771.4113378096</v>
      </c>
      <c r="J20" s="18">
        <f t="shared" si="4"/>
        <v>6425841.7742530899</v>
      </c>
      <c r="K20" s="18">
        <f t="shared" si="4"/>
        <v>6889296.925315219</v>
      </c>
    </row>
    <row r="21" spans="1:13" x14ac:dyDescent="0.35">
      <c r="A21" s="14">
        <v>2</v>
      </c>
      <c r="B21" s="5" t="s">
        <v>135</v>
      </c>
      <c r="C21" s="57">
        <f>'Ann 13'!C14*100000</f>
        <v>4037599.9999999995</v>
      </c>
      <c r="D21" s="57">
        <f>'Ann 13'!C18*100000</f>
        <v>3364799.9999999991</v>
      </c>
      <c r="E21" s="57">
        <f>'Ann 13'!C22*100000</f>
        <v>2691999.9999999995</v>
      </c>
      <c r="F21" s="57">
        <f>'Ann 13'!C26*100000</f>
        <v>2019200</v>
      </c>
      <c r="G21" s="18">
        <f>('Ann 13'!C29-'Ann 13'!D29)*100000</f>
        <v>0</v>
      </c>
      <c r="H21" s="18">
        <f>('Ann 13'!C33-'Ann 13'!D33)*100000</f>
        <v>0</v>
      </c>
      <c r="I21" s="18">
        <v>0</v>
      </c>
      <c r="J21" s="18">
        <v>0</v>
      </c>
      <c r="K21" s="18">
        <v>0</v>
      </c>
    </row>
    <row r="22" spans="1:13" x14ac:dyDescent="0.35">
      <c r="A22" s="14">
        <v>3</v>
      </c>
      <c r="B22" s="59" t="s">
        <v>170</v>
      </c>
      <c r="C22" s="57">
        <f>'Ann 2'!$C$7*100000</f>
        <v>0</v>
      </c>
      <c r="D22" s="57">
        <f>'Ann 2'!$C$7*100000</f>
        <v>0</v>
      </c>
      <c r="E22" s="57">
        <f>'Ann 2'!$C$7*100000</f>
        <v>0</v>
      </c>
      <c r="F22" s="57">
        <f>'Ann 2'!$C$7*100000</f>
        <v>0</v>
      </c>
      <c r="G22" s="57">
        <f>'Ann 2'!$C$7*100000</f>
        <v>0</v>
      </c>
      <c r="H22" s="57">
        <f>'Ann 2'!$C$7*100000</f>
        <v>0</v>
      </c>
      <c r="I22" s="57">
        <f>'Ann 2'!$C$7*100000</f>
        <v>0</v>
      </c>
      <c r="J22" s="57">
        <f>'Ann 2'!$C$7*100000</f>
        <v>0</v>
      </c>
      <c r="K22" s="57">
        <f>'Ann 2'!$C$7*100000</f>
        <v>0</v>
      </c>
    </row>
    <row r="23" spans="1:13" x14ac:dyDescent="0.35">
      <c r="A23" s="14">
        <v>4</v>
      </c>
      <c r="B23" s="59" t="s">
        <v>165</v>
      </c>
      <c r="C23" s="57">
        <f>'Ann 4'!C15*60/300</f>
        <v>65830</v>
      </c>
      <c r="D23" s="57">
        <f>'Ann 4'!D15*60/300</f>
        <v>66346.600000000006</v>
      </c>
      <c r="E23" s="57">
        <f>'Ann 4'!E15*60/300</f>
        <v>66873.531999999992</v>
      </c>
      <c r="F23" s="57">
        <f>'Ann 4'!F15*60/300</f>
        <v>67411.002639999992</v>
      </c>
      <c r="G23" s="57">
        <f>'Ann 4'!G15*60/300</f>
        <v>75959.222692800002</v>
      </c>
      <c r="H23" s="57">
        <f>'Ann 4'!H15*60/300</f>
        <v>76518.407146655998</v>
      </c>
      <c r="I23" s="57">
        <f>'Ann 4'!I15*60/300</f>
        <v>77088.775289589117</v>
      </c>
      <c r="J23" s="57">
        <f>'Ann 4'!J15*60/300</f>
        <v>77670.550795380899</v>
      </c>
      <c r="K23" s="57">
        <f>'Ann 4'!K15*60/300</f>
        <v>78263.961811288522</v>
      </c>
    </row>
    <row r="24" spans="1:13" x14ac:dyDescent="0.35">
      <c r="A24" s="14"/>
      <c r="B24" s="5" t="s">
        <v>136</v>
      </c>
      <c r="C24" s="56">
        <f t="shared" ref="C24:K24" si="5">SUM(C20:C23)</f>
        <v>5468221.5499999989</v>
      </c>
      <c r="D24" s="56">
        <f t="shared" si="5"/>
        <v>5588682.3749999972</v>
      </c>
      <c r="E24" s="56">
        <f t="shared" si="5"/>
        <v>5643030.5852499977</v>
      </c>
      <c r="F24" s="56">
        <f t="shared" si="5"/>
        <v>5624705.6585824974</v>
      </c>
      <c r="G24" s="56">
        <f t="shared" si="5"/>
        <v>5173780.118969922</v>
      </c>
      <c r="H24" s="56">
        <f t="shared" si="5"/>
        <v>5674202.0050100731</v>
      </c>
      <c r="I24" s="56">
        <f t="shared" si="5"/>
        <v>6070860.1866273992</v>
      </c>
      <c r="J24" s="56">
        <f t="shared" si="5"/>
        <v>6503512.3250484709</v>
      </c>
      <c r="K24" s="56">
        <f t="shared" si="5"/>
        <v>6967560.8871265072</v>
      </c>
    </row>
    <row r="25" spans="1:13" x14ac:dyDescent="0.35">
      <c r="A25" s="14"/>
      <c r="B25" s="5"/>
      <c r="C25" s="56"/>
      <c r="D25" s="56"/>
      <c r="E25" s="56"/>
      <c r="F25" s="56"/>
      <c r="G25" s="56"/>
      <c r="H25" s="56"/>
      <c r="I25" s="56"/>
      <c r="J25" s="56"/>
      <c r="K25" s="56"/>
      <c r="L25" s="67"/>
      <c r="M25" s="5"/>
    </row>
    <row r="26" spans="1:13" x14ac:dyDescent="0.35">
      <c r="A26" s="60"/>
      <c r="B26" s="61" t="s">
        <v>138</v>
      </c>
      <c r="C26" s="62"/>
      <c r="D26" s="62"/>
      <c r="E26" s="63"/>
      <c r="F26" s="63"/>
      <c r="G26" s="63"/>
      <c r="H26" s="63"/>
      <c r="I26" s="63"/>
      <c r="J26" s="63"/>
      <c r="K26" s="63"/>
    </row>
    <row r="27" spans="1:13" x14ac:dyDescent="0.35">
      <c r="A27" s="14"/>
      <c r="B27" s="5" t="s">
        <v>139</v>
      </c>
      <c r="C27" s="56">
        <f t="shared" ref="C27:K27" si="6">SUM(C12:C13)</f>
        <v>1325971.5499999991</v>
      </c>
      <c r="D27" s="56">
        <f t="shared" si="6"/>
        <v>2057644.8749999977</v>
      </c>
      <c r="E27" s="47">
        <f t="shared" si="6"/>
        <v>2632536.2102499977</v>
      </c>
      <c r="F27" s="47">
        <f t="shared" si="6"/>
        <v>3057584.1898324983</v>
      </c>
      <c r="G27" s="47">
        <f t="shared" si="6"/>
        <v>2984345.7455324233</v>
      </c>
      <c r="H27" s="47">
        <f t="shared" si="6"/>
        <v>3806539.7750881994</v>
      </c>
      <c r="I27" s="47">
        <f t="shared" si="6"/>
        <v>4477368.5799438041</v>
      </c>
      <c r="J27" s="47">
        <f t="shared" si="6"/>
        <v>5143663.6192424167</v>
      </c>
      <c r="K27" s="47">
        <f t="shared" si="6"/>
        <v>5806846.7310788631</v>
      </c>
    </row>
    <row r="28" spans="1:13" x14ac:dyDescent="0.35">
      <c r="A28" s="14"/>
      <c r="B28" s="5" t="s">
        <v>140</v>
      </c>
      <c r="C28" s="56">
        <f>C23</f>
        <v>65830</v>
      </c>
      <c r="D28" s="56">
        <f t="shared" ref="D28:K28" si="7">D23</f>
        <v>66346.600000000006</v>
      </c>
      <c r="E28" s="56">
        <f t="shared" si="7"/>
        <v>66873.531999999992</v>
      </c>
      <c r="F28" s="56">
        <f t="shared" si="7"/>
        <v>67411.002639999992</v>
      </c>
      <c r="G28" s="56">
        <f t="shared" si="7"/>
        <v>75959.222692800002</v>
      </c>
      <c r="H28" s="56">
        <f t="shared" si="7"/>
        <v>76518.407146655998</v>
      </c>
      <c r="I28" s="56">
        <f t="shared" si="7"/>
        <v>77088.775289589117</v>
      </c>
      <c r="J28" s="56">
        <f t="shared" si="7"/>
        <v>77670.550795380899</v>
      </c>
      <c r="K28" s="56">
        <f t="shared" si="7"/>
        <v>78263.961811288522</v>
      </c>
    </row>
    <row r="29" spans="1:13" x14ac:dyDescent="0.35">
      <c r="A29" s="14"/>
      <c r="B29" s="5" t="s">
        <v>145</v>
      </c>
      <c r="C29" s="9">
        <f>C27/C28</f>
        <v>20.14235986632233</v>
      </c>
      <c r="D29" s="9">
        <f>D27/D28</f>
        <v>31.01356927107037</v>
      </c>
      <c r="E29" s="6">
        <f t="shared" ref="E29:K29" si="8">E27/E28</f>
        <v>39.365891579496626</v>
      </c>
      <c r="F29" s="6">
        <f t="shared" si="8"/>
        <v>45.357346280119039</v>
      </c>
      <c r="G29" s="6">
        <f t="shared" si="8"/>
        <v>39.288787322139122</v>
      </c>
      <c r="H29" s="6">
        <f t="shared" si="8"/>
        <v>49.74671999892189</v>
      </c>
      <c r="I29" s="6">
        <f t="shared" si="8"/>
        <v>58.080681177308513</v>
      </c>
      <c r="J29" s="6">
        <f t="shared" si="8"/>
        <v>66.224116689903951</v>
      </c>
      <c r="K29" s="6">
        <f t="shared" si="8"/>
        <v>74.195665497747697</v>
      </c>
    </row>
    <row r="30" spans="1:13" x14ac:dyDescent="0.35">
      <c r="A30" s="14"/>
      <c r="B30" s="59" t="s">
        <v>158</v>
      </c>
      <c r="C30" s="9"/>
      <c r="D30" s="9"/>
      <c r="E30" s="6"/>
      <c r="F30" s="6">
        <f>AVERAGE(C29:K29)</f>
        <v>47.046126409225501</v>
      </c>
      <c r="G30" s="6"/>
      <c r="H30" s="6"/>
      <c r="I30" s="6"/>
      <c r="J30" s="6"/>
      <c r="K30" s="6"/>
    </row>
    <row r="31" spans="1:13" x14ac:dyDescent="0.35">
      <c r="A31" s="14"/>
      <c r="B31" s="5"/>
      <c r="C31" s="9"/>
      <c r="D31" s="9"/>
      <c r="E31" s="6"/>
      <c r="F31" s="6"/>
      <c r="G31" s="6"/>
      <c r="H31" s="6"/>
      <c r="I31" s="6"/>
      <c r="J31" s="6"/>
      <c r="K31" s="6"/>
    </row>
    <row r="32" spans="1:13" x14ac:dyDescent="0.35">
      <c r="A32" s="60"/>
      <c r="B32" s="61" t="s">
        <v>142</v>
      </c>
      <c r="C32" s="62"/>
      <c r="D32" s="62"/>
      <c r="E32" s="63"/>
      <c r="F32" s="63"/>
      <c r="G32" s="63"/>
      <c r="H32" s="63"/>
      <c r="I32" s="63"/>
      <c r="J32" s="63"/>
      <c r="K32" s="63"/>
    </row>
    <row r="33" spans="1:11" x14ac:dyDescent="0.35">
      <c r="A33" s="14"/>
      <c r="B33" s="5" t="s">
        <v>143</v>
      </c>
      <c r="C33" s="56">
        <f>C21+C22</f>
        <v>4037599.9999999995</v>
      </c>
      <c r="D33" s="56">
        <f t="shared" ref="D33:K33" si="9">D21+D22</f>
        <v>3364799.9999999991</v>
      </c>
      <c r="E33" s="56">
        <f t="shared" si="9"/>
        <v>2691999.9999999995</v>
      </c>
      <c r="F33" s="56">
        <f t="shared" si="9"/>
        <v>2019200</v>
      </c>
      <c r="G33" s="56">
        <f t="shared" si="9"/>
        <v>0</v>
      </c>
      <c r="H33" s="56">
        <f t="shared" si="9"/>
        <v>0</v>
      </c>
      <c r="I33" s="56">
        <f t="shared" si="9"/>
        <v>0</v>
      </c>
      <c r="J33" s="56">
        <f t="shared" si="9"/>
        <v>0</v>
      </c>
      <c r="K33" s="56">
        <f t="shared" si="9"/>
        <v>0</v>
      </c>
    </row>
    <row r="34" spans="1:11" x14ac:dyDescent="0.35">
      <c r="A34" s="14"/>
      <c r="B34" s="5" t="s">
        <v>144</v>
      </c>
      <c r="C34" s="56">
        <f t="shared" ref="C34:K34" si="10">C20</f>
        <v>1364791.5499999993</v>
      </c>
      <c r="D34" s="56">
        <f t="shared" si="10"/>
        <v>2157535.7749999985</v>
      </c>
      <c r="E34" s="47">
        <f t="shared" si="10"/>
        <v>2884157.053249998</v>
      </c>
      <c r="F34" s="47">
        <f t="shared" si="10"/>
        <v>3538094.6559424978</v>
      </c>
      <c r="G34" s="47">
        <f t="shared" si="10"/>
        <v>5097820.8962771222</v>
      </c>
      <c r="H34" s="47">
        <f t="shared" si="10"/>
        <v>5597683.5978634171</v>
      </c>
      <c r="I34" s="47">
        <f t="shared" si="10"/>
        <v>5993771.4113378096</v>
      </c>
      <c r="J34" s="47">
        <f t="shared" si="10"/>
        <v>6425841.7742530899</v>
      </c>
      <c r="K34" s="47">
        <f t="shared" si="10"/>
        <v>6889296.925315219</v>
      </c>
    </row>
    <row r="35" spans="1:11" x14ac:dyDescent="0.35">
      <c r="A35" s="14"/>
      <c r="B35" s="5" t="s">
        <v>145</v>
      </c>
      <c r="C35" s="9">
        <f>C33/C34</f>
        <v>2.9584004971308633</v>
      </c>
      <c r="D35" s="9">
        <f t="shared" ref="D35:K35" si="11">D33/D34</f>
        <v>1.5595569904281199</v>
      </c>
      <c r="E35" s="6">
        <f t="shared" si="11"/>
        <v>0.93337496894162986</v>
      </c>
      <c r="F35" s="6">
        <f t="shared" si="11"/>
        <v>0.5707026511030735</v>
      </c>
      <c r="G35" s="66">
        <f t="shared" si="11"/>
        <v>0</v>
      </c>
      <c r="H35" s="66">
        <f t="shared" si="11"/>
        <v>0</v>
      </c>
      <c r="I35" s="66">
        <f t="shared" si="11"/>
        <v>0</v>
      </c>
      <c r="J35" s="66">
        <f t="shared" si="11"/>
        <v>0</v>
      </c>
      <c r="K35" s="66">
        <f t="shared" si="11"/>
        <v>0</v>
      </c>
    </row>
    <row r="36" spans="1:11" x14ac:dyDescent="0.35">
      <c r="A36" s="14"/>
      <c r="B36" s="59" t="s">
        <v>158</v>
      </c>
      <c r="C36" s="9"/>
      <c r="D36" s="9"/>
      <c r="E36" s="6"/>
      <c r="F36" s="6">
        <f>AVERAGE(C35:K35)</f>
        <v>0.66911501195596523</v>
      </c>
      <c r="G36" s="6"/>
      <c r="H36" s="6"/>
      <c r="I36" s="47"/>
      <c r="J36" s="47"/>
      <c r="K36" s="47"/>
    </row>
    <row r="37" spans="1:11" x14ac:dyDescent="0.35">
      <c r="A37" s="14"/>
      <c r="B37" s="5"/>
      <c r="C37" s="9"/>
      <c r="D37" s="9"/>
      <c r="E37" s="6"/>
      <c r="F37" s="6"/>
      <c r="G37" s="6"/>
      <c r="H37" s="6"/>
      <c r="I37" s="47"/>
      <c r="J37" s="47"/>
      <c r="K37" s="47"/>
    </row>
    <row r="38" spans="1:11" x14ac:dyDescent="0.35">
      <c r="A38" s="60"/>
      <c r="B38" s="61" t="s">
        <v>159</v>
      </c>
      <c r="C38" s="62"/>
      <c r="D38" s="62"/>
      <c r="E38" s="63"/>
      <c r="F38" s="63"/>
      <c r="G38" s="63"/>
      <c r="H38" s="63"/>
      <c r="I38" s="64"/>
      <c r="J38" s="64"/>
      <c r="K38" s="64"/>
    </row>
    <row r="39" spans="1:11" x14ac:dyDescent="0.35">
      <c r="A39" s="14"/>
      <c r="B39" s="59" t="s">
        <v>160</v>
      </c>
      <c r="C39" s="56">
        <f t="shared" ref="C39:K39" si="12">C11</f>
        <v>4142250</v>
      </c>
      <c r="D39" s="56">
        <f t="shared" si="12"/>
        <v>3531037.5</v>
      </c>
      <c r="E39" s="56">
        <f t="shared" si="12"/>
        <v>3010494.375</v>
      </c>
      <c r="F39" s="56">
        <f t="shared" si="12"/>
        <v>2567121.46875</v>
      </c>
      <c r="G39" s="56">
        <f t="shared" si="12"/>
        <v>2189434.3734375001</v>
      </c>
      <c r="H39" s="56">
        <f t="shared" si="12"/>
        <v>1867662.2299218751</v>
      </c>
      <c r="I39" s="56">
        <f t="shared" si="12"/>
        <v>1593491.6066835937</v>
      </c>
      <c r="J39" s="56">
        <f t="shared" si="12"/>
        <v>1359848.7058060546</v>
      </c>
      <c r="K39" s="56">
        <f t="shared" si="12"/>
        <v>1160714.1560476464</v>
      </c>
    </row>
    <row r="40" spans="1:11" x14ac:dyDescent="0.35">
      <c r="A40" s="14"/>
      <c r="B40" s="59" t="s">
        <v>143</v>
      </c>
      <c r="C40" s="56">
        <f t="shared" ref="C40:K40" si="13">C21+C22</f>
        <v>4037599.9999999995</v>
      </c>
      <c r="D40" s="56">
        <f t="shared" si="13"/>
        <v>3364799.9999999991</v>
      </c>
      <c r="E40" s="56">
        <f t="shared" si="13"/>
        <v>2691999.9999999995</v>
      </c>
      <c r="F40" s="56">
        <f t="shared" si="13"/>
        <v>2019200</v>
      </c>
      <c r="G40" s="56">
        <f t="shared" si="13"/>
        <v>0</v>
      </c>
      <c r="H40" s="56">
        <f t="shared" si="13"/>
        <v>0</v>
      </c>
      <c r="I40" s="56">
        <f t="shared" si="13"/>
        <v>0</v>
      </c>
      <c r="J40" s="56">
        <f t="shared" si="13"/>
        <v>0</v>
      </c>
      <c r="K40" s="56">
        <f t="shared" si="13"/>
        <v>0</v>
      </c>
    </row>
    <row r="41" spans="1:11" x14ac:dyDescent="0.35">
      <c r="A41" s="14"/>
      <c r="B41" s="59" t="s">
        <v>154</v>
      </c>
      <c r="C41" s="9">
        <f>C39/C40</f>
        <v>1.0259188626907074</v>
      </c>
      <c r="D41" s="9">
        <f t="shared" ref="D41:H41" si="14">D39/D40</f>
        <v>1.0494048680456494</v>
      </c>
      <c r="E41" s="9">
        <f t="shared" si="14"/>
        <v>1.1183114320208025</v>
      </c>
      <c r="F41" s="9">
        <f t="shared" si="14"/>
        <v>1.2713557194681062</v>
      </c>
      <c r="G41" s="116">
        <v>0</v>
      </c>
      <c r="H41" s="116">
        <v>0</v>
      </c>
      <c r="I41" s="56">
        <v>0</v>
      </c>
      <c r="J41" s="56">
        <v>0</v>
      </c>
      <c r="K41" s="56">
        <v>0</v>
      </c>
    </row>
    <row r="42" spans="1:11" x14ac:dyDescent="0.35">
      <c r="A42" s="14"/>
      <c r="B42" s="59"/>
      <c r="C42" s="9"/>
      <c r="D42" s="9"/>
      <c r="E42" s="6"/>
      <c r="F42" s="6">
        <f>AVERAGE(C41:K41)</f>
        <v>0.49611009802502948</v>
      </c>
      <c r="G42" s="6"/>
      <c r="H42" s="6"/>
      <c r="I42" s="6"/>
      <c r="J42" s="6"/>
      <c r="K42" s="6"/>
    </row>
    <row r="43" spans="1:11" x14ac:dyDescent="0.35">
      <c r="A43" s="14"/>
      <c r="B43" s="5"/>
      <c r="C43" s="9"/>
      <c r="D43" s="9"/>
      <c r="E43" s="6"/>
      <c r="F43" s="6"/>
      <c r="G43" s="6"/>
      <c r="H43" s="6"/>
      <c r="I43" s="47"/>
      <c r="J43" s="47"/>
      <c r="K43" s="47"/>
    </row>
    <row r="44" spans="1:11" x14ac:dyDescent="0.35">
      <c r="A44" s="60"/>
      <c r="B44" s="61" t="s">
        <v>151</v>
      </c>
      <c r="C44" s="62"/>
      <c r="D44" s="62"/>
      <c r="E44" s="63"/>
      <c r="F44" s="63"/>
      <c r="G44" s="63"/>
      <c r="H44" s="63"/>
      <c r="I44" s="64"/>
      <c r="J44" s="64"/>
      <c r="K44" s="64"/>
    </row>
    <row r="45" spans="1:11" x14ac:dyDescent="0.35">
      <c r="A45" s="14"/>
      <c r="B45" s="5" t="s">
        <v>152</v>
      </c>
      <c r="C45" s="57">
        <f>'Ann 4'!C25</f>
        <v>259917</v>
      </c>
      <c r="D45" s="57">
        <f>'Ann 4'!D25</f>
        <v>227117.99999999997</v>
      </c>
      <c r="E45" s="57">
        <f>'Ann 4'!E25</f>
        <v>186749.99999999994</v>
      </c>
      <c r="F45" s="57">
        <f>'Ann 4'!F25</f>
        <v>146381.99999999997</v>
      </c>
      <c r="G45" s="57">
        <f>'Ann 4'!G25</f>
        <v>30288</v>
      </c>
      <c r="H45" s="57">
        <f>'Ann 4'!H25</f>
        <v>0</v>
      </c>
      <c r="I45" s="57">
        <f>'Ann 4'!I25</f>
        <v>0</v>
      </c>
      <c r="J45" s="57">
        <f>'Ann 4'!J25</f>
        <v>0</v>
      </c>
      <c r="K45" s="57">
        <f>'Ann 4'!K25</f>
        <v>0</v>
      </c>
    </row>
    <row r="46" spans="1:11" x14ac:dyDescent="0.35">
      <c r="A46" s="14"/>
      <c r="B46" s="5" t="s">
        <v>155</v>
      </c>
      <c r="C46" s="57">
        <f>(SUM('Ann 13'!D10:D13)*100000)+('Ann 1'!$C$25*100000)</f>
        <v>336400</v>
      </c>
      <c r="D46" s="57">
        <f>(SUM('Ann 13'!D14:D17)*100000)+('Ann 1'!$C$25*100000)</f>
        <v>672800</v>
      </c>
      <c r="E46" s="57">
        <f>(SUM('Ann 13'!D18:D21)*100000)+('Ann 1'!$C$25*100000)</f>
        <v>672800</v>
      </c>
      <c r="F46" s="57">
        <f>(SUM('Ann 13'!D22:D25)*100000)+('Ann 1'!$C$25*100000)</f>
        <v>672800</v>
      </c>
      <c r="G46" s="57">
        <f>(SUM('Ann 13'!D26:D29)*100000)+('Ann 1'!$C$25*100000)</f>
        <v>75200</v>
      </c>
      <c r="H46" s="57">
        <f>(SUM('Ann 13'!D30:D33)*100000)+('Ann 1'!$C$25*100000)</f>
        <v>0</v>
      </c>
      <c r="I46" s="57">
        <f>(SUM('Ann 13'!D34:D37)*100000)+('Ann 1'!$C$25*100000)</f>
        <v>0</v>
      </c>
      <c r="J46" s="57">
        <f>(SUM('Ann 13'!D38:D39)*100000)+('Ann 1'!$C$25*100000)</f>
        <v>0</v>
      </c>
      <c r="K46" s="57">
        <f>(SUM('Ann 13'!D40:D43)*100000)+('Ann 1'!$C$25*100000)</f>
        <v>0</v>
      </c>
    </row>
    <row r="47" spans="1:11" x14ac:dyDescent="0.35">
      <c r="A47" s="14"/>
      <c r="B47" s="5" t="s">
        <v>8</v>
      </c>
      <c r="C47" s="57">
        <f>SUM(C45:C46)</f>
        <v>596317</v>
      </c>
      <c r="D47" s="57">
        <f t="shared" ref="D47:K47" si="15">SUM(D45:D46)</f>
        <v>899918</v>
      </c>
      <c r="E47" s="18">
        <f t="shared" si="15"/>
        <v>859550</v>
      </c>
      <c r="F47" s="18">
        <f t="shared" si="15"/>
        <v>819182</v>
      </c>
      <c r="G47" s="18">
        <f t="shared" si="15"/>
        <v>105488</v>
      </c>
      <c r="H47" s="18">
        <f t="shared" si="15"/>
        <v>0</v>
      </c>
      <c r="I47" s="18">
        <f t="shared" si="15"/>
        <v>0</v>
      </c>
      <c r="J47" s="18">
        <f t="shared" si="15"/>
        <v>0</v>
      </c>
      <c r="K47" s="18">
        <f t="shared" si="15"/>
        <v>0</v>
      </c>
    </row>
    <row r="48" spans="1:11" x14ac:dyDescent="0.35">
      <c r="A48" s="14"/>
      <c r="B48" s="5" t="s">
        <v>153</v>
      </c>
      <c r="C48" s="57">
        <f>'Ann 4'!C20</f>
        <v>3488499.9999999981</v>
      </c>
      <c r="D48" s="57">
        <f>'Ann 4'!D20</f>
        <v>3103313.9999999981</v>
      </c>
      <c r="E48" s="18">
        <f>'Ann 4'!E20</f>
        <v>2783353.9199999981</v>
      </c>
      <c r="F48" s="18">
        <f>'Ann 4'!F20</f>
        <v>2458148.0567999985</v>
      </c>
      <c r="G48" s="18">
        <f>'Ann 4'!G20</f>
        <v>2087192.9248399977</v>
      </c>
      <c r="H48" s="18">
        <f>'Ann 4'!H20</f>
        <v>1749951.2909050379</v>
      </c>
      <c r="I48" s="18">
        <f>'Ann 4'!I20</f>
        <v>1405850.0903079733</v>
      </c>
      <c r="J48" s="18">
        <f>'Ann 4'!J20</f>
        <v>1468129.6520640552</v>
      </c>
      <c r="K48" s="18">
        <f>'Ann 4'!K20</f>
        <v>1523292.1242216341</v>
      </c>
    </row>
    <row r="49" spans="1:11" x14ac:dyDescent="0.35">
      <c r="A49" s="49"/>
      <c r="B49" s="50" t="s">
        <v>154</v>
      </c>
      <c r="C49" s="11">
        <f>C48/C47</f>
        <v>5.8500763855466102</v>
      </c>
      <c r="D49" s="11">
        <f t="shared" ref="D49:I49" si="16">D48/D47</f>
        <v>3.4484408579448327</v>
      </c>
      <c r="E49" s="51">
        <f t="shared" si="16"/>
        <v>3.2381524285963561</v>
      </c>
      <c r="F49" s="51">
        <f t="shared" si="16"/>
        <v>3.0007349487659623</v>
      </c>
      <c r="G49" s="51">
        <f t="shared" si="16"/>
        <v>19.786069741013172</v>
      </c>
      <c r="H49" s="117">
        <v>0</v>
      </c>
      <c r="I49" s="117">
        <v>0</v>
      </c>
      <c r="J49" s="117">
        <v>0</v>
      </c>
      <c r="K49" s="117">
        <v>0</v>
      </c>
    </row>
    <row r="50" spans="1:11" x14ac:dyDescent="0.35">
      <c r="A50" s="5"/>
      <c r="B50" s="59" t="s">
        <v>158</v>
      </c>
      <c r="C50" s="5"/>
      <c r="D50" s="5"/>
      <c r="E50" s="5"/>
      <c r="F50" s="5">
        <f>AVERAGE(C49:G49)</f>
        <v>7.0646948723733853</v>
      </c>
      <c r="G50" s="5"/>
      <c r="H50" s="5"/>
      <c r="I50" s="5"/>
      <c r="J50" s="5"/>
      <c r="K50" s="5"/>
    </row>
    <row r="51" spans="1:11" x14ac:dyDescent="0.35">
      <c r="I51" s="16"/>
      <c r="J51" s="16"/>
      <c r="K51" s="16"/>
    </row>
    <row r="53" spans="1:11" x14ac:dyDescent="0.35">
      <c r="A53" t="s">
        <v>247</v>
      </c>
    </row>
    <row r="54" spans="1:11" x14ac:dyDescent="0.35">
      <c r="A54" t="s">
        <v>141</v>
      </c>
    </row>
  </sheetData>
  <mergeCells count="3">
    <mergeCell ref="A5:A6"/>
    <mergeCell ref="B5:B6"/>
    <mergeCell ref="C5:K5"/>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sheetPr>
    <pageSetUpPr fitToPage="1"/>
  </sheetPr>
  <dimension ref="A1:C17"/>
  <sheetViews>
    <sheetView workbookViewId="0">
      <selection activeCell="B17" sqref="B17"/>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280</v>
      </c>
    </row>
    <row r="3" spans="1:3" x14ac:dyDescent="0.35">
      <c r="A3" s="3" t="s">
        <v>283</v>
      </c>
    </row>
    <row r="5" spans="1:3" x14ac:dyDescent="0.35">
      <c r="A5" s="22" t="s">
        <v>281</v>
      </c>
    </row>
    <row r="6" spans="1:3" x14ac:dyDescent="0.35">
      <c r="A6" s="23" t="s">
        <v>289</v>
      </c>
    </row>
    <row r="7" spans="1:3" x14ac:dyDescent="0.35">
      <c r="A7" t="s">
        <v>282</v>
      </c>
      <c r="B7">
        <v>5</v>
      </c>
      <c r="C7" t="s">
        <v>286</v>
      </c>
    </row>
    <row r="8" spans="1:3" x14ac:dyDescent="0.35">
      <c r="A8" t="s">
        <v>284</v>
      </c>
      <c r="B8">
        <v>30</v>
      </c>
      <c r="C8" t="s">
        <v>287</v>
      </c>
    </row>
    <row r="9" spans="1:3" x14ac:dyDescent="0.35">
      <c r="A9" t="s">
        <v>285</v>
      </c>
      <c r="B9">
        <f>B8*3000*5/B7</f>
        <v>90000</v>
      </c>
      <c r="C9" t="s">
        <v>288</v>
      </c>
    </row>
    <row r="11" spans="1:3" x14ac:dyDescent="0.35">
      <c r="A11" s="23" t="s">
        <v>290</v>
      </c>
    </row>
    <row r="12" spans="1:3" x14ac:dyDescent="0.35">
      <c r="A12" s="23" t="s">
        <v>282</v>
      </c>
      <c r="B12">
        <v>0.5</v>
      </c>
      <c r="C12" t="s">
        <v>291</v>
      </c>
    </row>
    <row r="13" spans="1:3" x14ac:dyDescent="0.35">
      <c r="A13" s="23" t="s">
        <v>292</v>
      </c>
      <c r="B13">
        <f>B12*3000*10</f>
        <v>15000</v>
      </c>
      <c r="C13" t="s">
        <v>293</v>
      </c>
    </row>
    <row r="15" spans="1:3" x14ac:dyDescent="0.35">
      <c r="A15" t="s">
        <v>294</v>
      </c>
      <c r="B15">
        <f>B13+B9</f>
        <v>105000</v>
      </c>
    </row>
    <row r="16" spans="1:3" x14ac:dyDescent="0.35">
      <c r="A16" t="s">
        <v>295</v>
      </c>
      <c r="B16">
        <v>75</v>
      </c>
    </row>
    <row r="17" spans="1:2" x14ac:dyDescent="0.35">
      <c r="A17" t="s">
        <v>296</v>
      </c>
      <c r="B17" s="102">
        <f>B15*B16</f>
        <v>7875000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A12" sqref="A12"/>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162</v>
      </c>
    </row>
    <row r="3" spans="1:5" x14ac:dyDescent="0.35">
      <c r="A3" s="3" t="s">
        <v>163</v>
      </c>
    </row>
    <row r="5" spans="1:5" x14ac:dyDescent="0.35">
      <c r="A5" s="34" t="s">
        <v>52</v>
      </c>
      <c r="B5" s="34" t="s">
        <v>53</v>
      </c>
      <c r="C5" s="34" t="s">
        <v>54</v>
      </c>
      <c r="D5" s="34" t="s">
        <v>55</v>
      </c>
      <c r="E5" s="34" t="s">
        <v>246</v>
      </c>
    </row>
    <row r="6" spans="1:5" x14ac:dyDescent="0.35">
      <c r="A6" s="41" t="s">
        <v>56</v>
      </c>
      <c r="B6" s="41" t="s">
        <v>194</v>
      </c>
      <c r="C6" s="41">
        <v>5</v>
      </c>
      <c r="D6" s="30">
        <v>19000</v>
      </c>
      <c r="E6" s="30">
        <f>D6*C6*12</f>
        <v>1140000</v>
      </c>
    </row>
    <row r="7" spans="1:5" x14ac:dyDescent="0.35">
      <c r="A7" s="12" t="s">
        <v>57</v>
      </c>
      <c r="B7" s="12" t="s">
        <v>60</v>
      </c>
      <c r="C7" s="12">
        <v>1</v>
      </c>
      <c r="D7" s="30">
        <v>30000</v>
      </c>
      <c r="E7" s="30">
        <f>D7*C7*12</f>
        <v>360000</v>
      </c>
    </row>
    <row r="8" spans="1:5" x14ac:dyDescent="0.35">
      <c r="A8" s="12" t="s">
        <v>61</v>
      </c>
      <c r="B8" s="12" t="s">
        <v>245</v>
      </c>
      <c r="C8" s="12">
        <v>3</v>
      </c>
      <c r="D8" s="30">
        <v>14000</v>
      </c>
      <c r="E8" s="30">
        <f>D8*C8*12</f>
        <v>504000</v>
      </c>
    </row>
    <row r="9" spans="1:5" x14ac:dyDescent="0.35">
      <c r="A9" s="12" t="s">
        <v>244</v>
      </c>
      <c r="B9" s="12" t="s">
        <v>164</v>
      </c>
      <c r="C9" s="12">
        <v>1</v>
      </c>
      <c r="D9" s="30">
        <v>11000</v>
      </c>
      <c r="E9" s="30">
        <f>D9*C9*12</f>
        <v>132000</v>
      </c>
    </row>
    <row r="10" spans="1:5" x14ac:dyDescent="0.35">
      <c r="A10" s="110" t="s">
        <v>8</v>
      </c>
      <c r="B10" s="110"/>
      <c r="C10" s="110"/>
      <c r="D10" s="110"/>
      <c r="E10" s="40">
        <f>SUM(E6:E9)</f>
        <v>2136000</v>
      </c>
    </row>
    <row r="11" spans="1:5" x14ac:dyDescent="0.35">
      <c r="A11" s="43"/>
      <c r="B11" s="45"/>
      <c r="C11" s="45"/>
      <c r="D11" s="45"/>
      <c r="E11" s="46"/>
    </row>
    <row r="12" spans="1:5" x14ac:dyDescent="0.35">
      <c r="A12" s="49" t="s">
        <v>309</v>
      </c>
      <c r="B12" s="50"/>
      <c r="C12" s="50"/>
      <c r="D12" s="50"/>
      <c r="E12" s="52">
        <f>E10*15%</f>
        <v>320400</v>
      </c>
    </row>
    <row r="13" spans="1:5" x14ac:dyDescent="0.35">
      <c r="A13" s="13" t="s">
        <v>8</v>
      </c>
      <c r="B13" s="4"/>
      <c r="C13" s="4"/>
      <c r="D13" s="4"/>
      <c r="E13" s="53">
        <f>SUM(E10:E12)</f>
        <v>2456400</v>
      </c>
    </row>
    <row r="15" spans="1:5" x14ac:dyDescent="0.35">
      <c r="A15" t="s">
        <v>58</v>
      </c>
      <c r="E15" s="16">
        <f>E13</f>
        <v>2456400</v>
      </c>
    </row>
    <row r="16" spans="1:5" x14ac:dyDescent="0.35">
      <c r="A16" t="s">
        <v>59</v>
      </c>
      <c r="E16" s="25">
        <v>0.06</v>
      </c>
    </row>
    <row r="17" spans="1:5" x14ac:dyDescent="0.35">
      <c r="A17" t="s">
        <v>166</v>
      </c>
      <c r="E17">
        <f>SUM(C6:C9)</f>
        <v>10</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225000</v>
      </c>
      <c r="D6" s="30">
        <f>('Ann 1'!C20+'Ann 1'!C37)*100000</f>
        <v>4635000</v>
      </c>
      <c r="E6" s="30">
        <v>0</v>
      </c>
      <c r="F6" s="12">
        <f>SUM(C6:E6)/100000</f>
        <v>48.6</v>
      </c>
    </row>
    <row r="7" spans="1:6" x14ac:dyDescent="0.35">
      <c r="A7" s="12" t="s">
        <v>57</v>
      </c>
      <c r="B7" s="12" t="s">
        <v>64</v>
      </c>
      <c r="C7" s="30">
        <v>0</v>
      </c>
      <c r="D7" s="30">
        <v>0</v>
      </c>
      <c r="E7" s="30">
        <v>0</v>
      </c>
      <c r="F7" s="30">
        <f>SUM(C7:E7)/100000</f>
        <v>0</v>
      </c>
    </row>
    <row r="8" spans="1:6" x14ac:dyDescent="0.35">
      <c r="A8" s="12" t="s">
        <v>61</v>
      </c>
      <c r="B8" s="12" t="s">
        <v>65</v>
      </c>
      <c r="C8" s="30">
        <v>0</v>
      </c>
      <c r="D8" s="30">
        <v>0</v>
      </c>
      <c r="E8" s="30">
        <v>0</v>
      </c>
      <c r="F8" s="30">
        <f>SUM(C8:E8)/100000</f>
        <v>0</v>
      </c>
    </row>
    <row r="9" spans="1:6" x14ac:dyDescent="0.35">
      <c r="A9" s="12"/>
      <c r="B9" s="110" t="s">
        <v>8</v>
      </c>
      <c r="C9" s="110"/>
      <c r="D9" s="110"/>
      <c r="E9" s="110"/>
      <c r="F9" s="12">
        <f>SUM(F6:F8)</f>
        <v>48.6</v>
      </c>
    </row>
    <row r="11" spans="1:6" x14ac:dyDescent="0.35">
      <c r="A11" s="12"/>
      <c r="B11" s="12" t="s">
        <v>69</v>
      </c>
      <c r="C11" s="73">
        <v>0.1</v>
      </c>
      <c r="D11" s="73">
        <v>0.15</v>
      </c>
      <c r="E11" s="73">
        <v>0.1</v>
      </c>
      <c r="F11" s="12" t="s">
        <v>193</v>
      </c>
    </row>
    <row r="12" spans="1:6" x14ac:dyDescent="0.35">
      <c r="A12" s="80" t="s">
        <v>70</v>
      </c>
      <c r="B12" s="77">
        <v>1</v>
      </c>
      <c r="C12" s="81">
        <f>C11*C6</f>
        <v>22500</v>
      </c>
      <c r="D12" s="81">
        <f>D11*D6</f>
        <v>695250</v>
      </c>
      <c r="E12" s="81">
        <f>E11*E6</f>
        <v>0</v>
      </c>
      <c r="F12" s="81">
        <f>SUM(C12:E12)</f>
        <v>717750</v>
      </c>
    </row>
    <row r="13" spans="1:6" x14ac:dyDescent="0.35">
      <c r="A13" s="80" t="s">
        <v>70</v>
      </c>
      <c r="B13" s="77">
        <v>2</v>
      </c>
      <c r="C13" s="81">
        <f>(C6-C12)*C11</f>
        <v>20250</v>
      </c>
      <c r="D13" s="81">
        <f>(D6-D12)*D11</f>
        <v>590962.5</v>
      </c>
      <c r="E13" s="81">
        <f>(E6-E12)*E11</f>
        <v>0</v>
      </c>
      <c r="F13" s="81">
        <f>SUM(C13:E13)</f>
        <v>611212.5</v>
      </c>
    </row>
    <row r="14" spans="1:6" x14ac:dyDescent="0.35">
      <c r="A14" s="80" t="s">
        <v>70</v>
      </c>
      <c r="B14" s="77">
        <v>3</v>
      </c>
      <c r="C14" s="81">
        <f>(C6-C12-C13)*C11</f>
        <v>18225</v>
      </c>
      <c r="D14" s="81">
        <f>(D6-D12-D13)*D11</f>
        <v>502318.125</v>
      </c>
      <c r="E14" s="81">
        <f>(E6-E12-E13)*E11</f>
        <v>0</v>
      </c>
      <c r="F14" s="81">
        <f t="shared" ref="F14:F20" si="0">SUM(C14:E14)</f>
        <v>520543.125</v>
      </c>
    </row>
    <row r="15" spans="1:6" x14ac:dyDescent="0.35">
      <c r="A15" s="80" t="s">
        <v>70</v>
      </c>
      <c r="B15" s="77">
        <v>4</v>
      </c>
      <c r="C15" s="81">
        <f>(C6-C12-C13-C14)*C11</f>
        <v>16402.5</v>
      </c>
      <c r="D15" s="81">
        <f>(D6-D12-D13-D14)*D11</f>
        <v>426970.40625</v>
      </c>
      <c r="E15" s="81">
        <f>(E6-E12-E13-E14)*E11</f>
        <v>0</v>
      </c>
      <c r="F15" s="81">
        <f t="shared" si="0"/>
        <v>443372.90625</v>
      </c>
    </row>
    <row r="16" spans="1:6" x14ac:dyDescent="0.35">
      <c r="A16" s="80" t="s">
        <v>70</v>
      </c>
      <c r="B16" s="77">
        <v>5</v>
      </c>
      <c r="C16" s="81">
        <f>(C6-C12-C13-C14-C15)*C11</f>
        <v>14762.25</v>
      </c>
      <c r="D16" s="81">
        <f>(D6-D12-D13-D14-D15)*D11</f>
        <v>362924.84531249997</v>
      </c>
      <c r="E16" s="81">
        <f>(E6-E12-E13-E14-E15)*E11</f>
        <v>0</v>
      </c>
      <c r="F16" s="81">
        <f t="shared" si="0"/>
        <v>377687.09531249997</v>
      </c>
    </row>
    <row r="17" spans="1:6" x14ac:dyDescent="0.35">
      <c r="A17" s="80" t="s">
        <v>70</v>
      </c>
      <c r="B17" s="77">
        <v>6</v>
      </c>
      <c r="C17" s="81">
        <f>(C6-C12-C13-C14-C15-C16)*C11</f>
        <v>13286.025000000001</v>
      </c>
      <c r="D17" s="81">
        <f>(D6-D12-D13-D14-D15-D16)*D11</f>
        <v>308486.11851562501</v>
      </c>
      <c r="E17" s="81">
        <f>(E6-E12-E13-E14-E15-E16)*E11</f>
        <v>0</v>
      </c>
      <c r="F17" s="81">
        <f t="shared" si="0"/>
        <v>321772.14351562504</v>
      </c>
    </row>
    <row r="18" spans="1:6" x14ac:dyDescent="0.35">
      <c r="A18" s="80" t="s">
        <v>70</v>
      </c>
      <c r="B18" s="77">
        <v>7</v>
      </c>
      <c r="C18" s="81">
        <f>(C6-C12-C13-C14-C15-C16-C17)*C11</f>
        <v>11957.422500000001</v>
      </c>
      <c r="D18" s="81">
        <f>(D6-D12-D13-D14-D15-D16-D17)*D11</f>
        <v>262213.20073828124</v>
      </c>
      <c r="E18" s="81">
        <f>(E6-E12-E13-E14-E15-E16-E17)*E11</f>
        <v>0</v>
      </c>
      <c r="F18" s="81">
        <f t="shared" si="0"/>
        <v>274170.62323828123</v>
      </c>
    </row>
    <row r="19" spans="1:6" x14ac:dyDescent="0.35">
      <c r="A19" s="80" t="s">
        <v>70</v>
      </c>
      <c r="B19" s="77">
        <v>8</v>
      </c>
      <c r="C19" s="81">
        <f>(C6-C12-C13-C14-C15-C16-C17-C18)*C11</f>
        <v>10761.680250000001</v>
      </c>
      <c r="D19" s="81">
        <f>(D6-D12-D13-D14-D15-D16-D17-D18)*D11</f>
        <v>222881.22062753906</v>
      </c>
      <c r="E19" s="81">
        <f>(E6-E12-E13-E14-E15-E16-E17-E18)*E11</f>
        <v>0</v>
      </c>
      <c r="F19" s="81">
        <f t="shared" si="0"/>
        <v>233642.90087753907</v>
      </c>
    </row>
    <row r="20" spans="1:6" x14ac:dyDescent="0.35">
      <c r="A20" s="80" t="s">
        <v>70</v>
      </c>
      <c r="B20" s="77">
        <v>9</v>
      </c>
      <c r="C20" s="81">
        <f>(C6-C12-C13-C14-C15-C16-C17-C18-C19)*C11</f>
        <v>9685.5122250000004</v>
      </c>
      <c r="D20" s="81">
        <f>(D6-D12-D13-D14-D15-D16-D17-D18-D19)*D11</f>
        <v>189449.03753340818</v>
      </c>
      <c r="E20" s="81">
        <f>(E6-E12-E13-E14-E15-E16-E17-E18-E19)*E11</f>
        <v>0</v>
      </c>
      <c r="F20" s="81">
        <f t="shared" si="0"/>
        <v>199134.54975840819</v>
      </c>
    </row>
    <row r="21" spans="1:6" x14ac:dyDescent="0.35">
      <c r="B21" s="1"/>
    </row>
    <row r="22" spans="1:6" x14ac:dyDescent="0.35">
      <c r="A22" s="29"/>
    </row>
  </sheetData>
  <mergeCells count="1">
    <mergeCell ref="B9:E9"/>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2021-07-15T11:45:47Z</cp:lastPrinted>
  <dcterms:created xsi:type="dcterms:W3CDTF">2021-07-04T07:21:16Z</dcterms:created>
  <dcterms:modified xsi:type="dcterms:W3CDTF">2021-07-15T11:45:48Z</dcterms:modified>
</cp:coreProperties>
</file>