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Sir- Nabcons\12. Rice Mill\"/>
    </mc:Choice>
  </mc:AlternateContent>
  <xr:revisionPtr revIDLastSave="0" documentId="13_ncr:1_{4E415ACA-B9D8-495A-91CE-B738D4C57505}"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4" l="1"/>
  <c r="F35" i="4"/>
  <c r="G35" i="4"/>
  <c r="H35" i="4"/>
  <c r="I35" i="4"/>
  <c r="J35" i="4"/>
  <c r="K35" i="4"/>
  <c r="D35" i="4"/>
  <c r="D13" i="4"/>
  <c r="E13" i="4"/>
  <c r="F13" i="4"/>
  <c r="G13" i="4"/>
  <c r="H13" i="4"/>
  <c r="I13" i="4"/>
  <c r="J13" i="4"/>
  <c r="K13" i="4"/>
  <c r="C13" i="4"/>
  <c r="C11" i="19"/>
  <c r="C8" i="4"/>
  <c r="E10" i="9"/>
  <c r="E11" i="9" s="1"/>
  <c r="E13" i="9" s="1"/>
  <c r="C41" i="1"/>
  <c r="B25" i="18"/>
  <c r="E13" i="11"/>
  <c r="D8" i="11"/>
  <c r="C22" i="11"/>
  <c r="D5" i="22"/>
  <c r="E4" i="22"/>
  <c r="E5" i="22" s="1"/>
  <c r="C9" i="7"/>
  <c r="B8" i="18"/>
  <c r="B7" i="18"/>
  <c r="C30" i="4"/>
  <c r="B13" i="18" s="1"/>
  <c r="B27" i="18" s="1"/>
  <c r="C17" i="19"/>
  <c r="G5" i="19" s="1"/>
  <c r="G6" i="19" s="1"/>
  <c r="C9" i="4"/>
  <c r="C41" i="4"/>
  <c r="E18" i="9"/>
  <c r="E20" i="10"/>
  <c r="E19" i="10"/>
  <c r="E18" i="10"/>
  <c r="E17" i="10"/>
  <c r="E16" i="10"/>
  <c r="E15" i="10"/>
  <c r="E14" i="10"/>
  <c r="E13" i="10"/>
  <c r="E12" i="10"/>
  <c r="E8" i="10"/>
  <c r="C6" i="10"/>
  <c r="E6" i="10"/>
  <c r="G11" i="19" l="1"/>
  <c r="G12" i="19"/>
  <c r="G10" i="19"/>
  <c r="G7" i="4" s="1"/>
  <c r="G26" i="19"/>
  <c r="G27" i="19"/>
  <c r="G8" i="19"/>
  <c r="C25" i="11"/>
  <c r="G7" i="19"/>
  <c r="G9" i="19" s="1"/>
  <c r="F4" i="22"/>
  <c r="G4" i="22" s="1"/>
  <c r="C5" i="19"/>
  <c r="D5" i="19"/>
  <c r="E5" i="19"/>
  <c r="K5" i="19"/>
  <c r="J5" i="19"/>
  <c r="F5" i="19"/>
  <c r="I5" i="19"/>
  <c r="H5" i="19"/>
  <c r="H4" i="22"/>
  <c r="G5" i="22"/>
  <c r="F5" i="22"/>
  <c r="C23" i="1"/>
  <c r="E19" i="3"/>
  <c r="D9" i="4" s="1"/>
  <c r="E9" i="4" s="1"/>
  <c r="F9" i="4" s="1"/>
  <c r="G9" i="4" s="1"/>
  <c r="H9" i="4" s="1"/>
  <c r="I9" i="4" s="1"/>
  <c r="J9" i="4" s="1"/>
  <c r="K9" i="4" s="1"/>
  <c r="E8" i="9"/>
  <c r="C20" i="11"/>
  <c r="C24" i="11" s="1"/>
  <c r="D26" i="4"/>
  <c r="E26" i="4"/>
  <c r="F26" i="4"/>
  <c r="G26" i="4"/>
  <c r="H26" i="4"/>
  <c r="I26" i="4"/>
  <c r="J26" i="4"/>
  <c r="K26" i="4"/>
  <c r="C26" i="4"/>
  <c r="C7" i="2"/>
  <c r="B4" i="18" s="1"/>
  <c r="E5" i="3"/>
  <c r="B13" i="23"/>
  <c r="B15" i="23" s="1"/>
  <c r="B17" i="23" s="1"/>
  <c r="B9" i="23"/>
  <c r="H10" i="19" l="1"/>
  <c r="H7" i="4" s="1"/>
  <c r="H12" i="19"/>
  <c r="H11" i="19"/>
  <c r="G13" i="19"/>
  <c r="G21" i="4" s="1"/>
  <c r="G12" i="7" s="1"/>
  <c r="F10" i="19"/>
  <c r="F7" i="4" s="1"/>
  <c r="F11" i="19"/>
  <c r="F12" i="19"/>
  <c r="I10" i="19"/>
  <c r="I7" i="4" s="1"/>
  <c r="I11" i="19"/>
  <c r="I12" i="19"/>
  <c r="J10" i="19"/>
  <c r="J7" i="4" s="1"/>
  <c r="J11" i="19"/>
  <c r="J12" i="19"/>
  <c r="D10" i="19"/>
  <c r="D7" i="4" s="1"/>
  <c r="D11" i="19"/>
  <c r="D12" i="19"/>
  <c r="C10" i="19"/>
  <c r="C7" i="4" s="1"/>
  <c r="C12" i="19"/>
  <c r="K10" i="19"/>
  <c r="K7" i="4" s="1"/>
  <c r="K12" i="19"/>
  <c r="K11" i="19"/>
  <c r="E10" i="19"/>
  <c r="E7" i="4" s="1"/>
  <c r="E12" i="19"/>
  <c r="E11" i="19"/>
  <c r="E6" i="19"/>
  <c r="D6" i="19"/>
  <c r="C6" i="19"/>
  <c r="H6" i="19"/>
  <c r="F6" i="19"/>
  <c r="J6" i="19"/>
  <c r="J7" i="19" s="1"/>
  <c r="J9" i="19" s="1"/>
  <c r="I6" i="19"/>
  <c r="K6" i="19"/>
  <c r="I4" i="22"/>
  <c r="H5" i="22"/>
  <c r="C15" i="1"/>
  <c r="E23" i="3"/>
  <c r="C21" i="19"/>
  <c r="A6" i="21"/>
  <c r="G10" i="4" l="1"/>
  <c r="G24" i="7" s="1"/>
  <c r="I27" i="19"/>
  <c r="I8" i="19"/>
  <c r="I26" i="19"/>
  <c r="C27" i="19"/>
  <c r="C8" i="19"/>
  <c r="C26" i="19"/>
  <c r="I7" i="19"/>
  <c r="I9" i="19" s="1"/>
  <c r="C7" i="19"/>
  <c r="C9" i="19" s="1"/>
  <c r="D26" i="19"/>
  <c r="D8" i="19"/>
  <c r="D27" i="19"/>
  <c r="J8" i="19"/>
  <c r="J13" i="19" s="1"/>
  <c r="J21" i="4" s="1"/>
  <c r="J12" i="7" s="1"/>
  <c r="J27" i="19"/>
  <c r="J26" i="19"/>
  <c r="D7" i="19"/>
  <c r="D9" i="19" s="1"/>
  <c r="F26" i="19"/>
  <c r="F8" i="19"/>
  <c r="F27" i="19"/>
  <c r="E26" i="19"/>
  <c r="E8" i="19"/>
  <c r="E27" i="19"/>
  <c r="F7" i="19"/>
  <c r="F9" i="19" s="1"/>
  <c r="F13" i="19" s="1"/>
  <c r="F21" i="4" s="1"/>
  <c r="F12" i="7" s="1"/>
  <c r="E7" i="19"/>
  <c r="E9" i="19" s="1"/>
  <c r="K8" i="19"/>
  <c r="K27" i="19"/>
  <c r="K26" i="19"/>
  <c r="H27" i="19"/>
  <c r="H26" i="19"/>
  <c r="H8" i="19"/>
  <c r="K7" i="19"/>
  <c r="K9" i="19" s="1"/>
  <c r="K13" i="19" s="1"/>
  <c r="K21" i="4" s="1"/>
  <c r="K12" i="7" s="1"/>
  <c r="H7" i="19"/>
  <c r="H9" i="19" s="1"/>
  <c r="I5" i="22"/>
  <c r="J4" i="22"/>
  <c r="A13" i="21"/>
  <c r="A11" i="21"/>
  <c r="A10" i="21"/>
  <c r="A9" i="21"/>
  <c r="K47" i="7"/>
  <c r="J47" i="7"/>
  <c r="D23" i="7"/>
  <c r="E23" i="7"/>
  <c r="F23" i="7"/>
  <c r="G23" i="7"/>
  <c r="H23" i="7"/>
  <c r="I23" i="7"/>
  <c r="I34" i="7" s="1"/>
  <c r="J23" i="7"/>
  <c r="J34" i="7" s="1"/>
  <c r="K23" i="7"/>
  <c r="K34" i="7" s="1"/>
  <c r="C23" i="7"/>
  <c r="E9" i="9"/>
  <c r="A14" i="21"/>
  <c r="C13" i="19" l="1"/>
  <c r="C21" i="4" s="1"/>
  <c r="C12" i="7" s="1"/>
  <c r="J10" i="4"/>
  <c r="J24" i="7" s="1"/>
  <c r="H13" i="19"/>
  <c r="H21" i="4" s="1"/>
  <c r="H12" i="7" s="1"/>
  <c r="E13" i="19"/>
  <c r="E21" i="4" s="1"/>
  <c r="E12" i="7" s="1"/>
  <c r="D13" i="19"/>
  <c r="D21" i="4" s="1"/>
  <c r="D12" i="7" s="1"/>
  <c r="I13" i="19"/>
  <c r="I21" i="4" s="1"/>
  <c r="I12" i="7" s="1"/>
  <c r="H10" i="4"/>
  <c r="H24" i="7" s="1"/>
  <c r="E10" i="4"/>
  <c r="E24" i="7" s="1"/>
  <c r="K10" i="4"/>
  <c r="K24" i="7" s="1"/>
  <c r="F10" i="4"/>
  <c r="F24" i="7" s="1"/>
  <c r="C28" i="19"/>
  <c r="J5" i="22"/>
  <c r="K4" i="22"/>
  <c r="A16" i="21"/>
  <c r="A15" i="21"/>
  <c r="A12" i="21"/>
  <c r="A8" i="21"/>
  <c r="A7" i="21"/>
  <c r="A5" i="21"/>
  <c r="A4" i="21"/>
  <c r="C24" i="18"/>
  <c r="K24" i="18"/>
  <c r="J24" i="18"/>
  <c r="I24" i="18"/>
  <c r="H24" i="18"/>
  <c r="G24" i="18"/>
  <c r="F24" i="18"/>
  <c r="E24" i="18"/>
  <c r="D24" i="18"/>
  <c r="D10" i="4" l="1"/>
  <c r="D24" i="7" s="1"/>
  <c r="I10" i="4"/>
  <c r="I24" i="7" s="1"/>
  <c r="C10" i="4"/>
  <c r="C24" i="7" s="1"/>
  <c r="D25" i="19"/>
  <c r="D28" i="19" s="1"/>
  <c r="L4" i="22"/>
  <c r="L5" i="22" s="1"/>
  <c r="K5" i="22"/>
  <c r="I41" i="7"/>
  <c r="J41" i="7"/>
  <c r="K41" i="7"/>
  <c r="E25" i="19" l="1"/>
  <c r="E28" i="19" s="1"/>
  <c r="C13" i="7"/>
  <c r="D12" i="4"/>
  <c r="C19" i="1"/>
  <c r="D40" i="4"/>
  <c r="D13" i="7" l="1"/>
  <c r="E12" i="4"/>
  <c r="F25" i="19"/>
  <c r="F28" i="19" s="1"/>
  <c r="D41" i="4"/>
  <c r="D8" i="4" s="1"/>
  <c r="E40" i="4"/>
  <c r="G25" i="19" l="1"/>
  <c r="G28" i="19" s="1"/>
  <c r="F12" i="4"/>
  <c r="E13" i="7"/>
  <c r="E41" i="4"/>
  <c r="E8" i="4" s="1"/>
  <c r="F40" i="4"/>
  <c r="H25" i="19" l="1"/>
  <c r="H28" i="19" s="1"/>
  <c r="F13" i="7"/>
  <c r="G12" i="4"/>
  <c r="F41" i="4"/>
  <c r="F8" i="4" s="1"/>
  <c r="G40" i="4"/>
  <c r="I25" i="19" l="1"/>
  <c r="I28" i="19" s="1"/>
  <c r="H12" i="4"/>
  <c r="G13" i="7"/>
  <c r="K29" i="7"/>
  <c r="G41" i="4"/>
  <c r="G8" i="4" s="1"/>
  <c r="C9" i="18"/>
  <c r="E5" i="11"/>
  <c r="D7" i="11" s="1"/>
  <c r="J3" i="20"/>
  <c r="B3" i="20"/>
  <c r="H40" i="4"/>
  <c r="J25" i="19" l="1"/>
  <c r="J28" i="19" s="1"/>
  <c r="I12" i="4"/>
  <c r="H13" i="7"/>
  <c r="I29" i="7"/>
  <c r="G29" i="7"/>
  <c r="D9" i="18"/>
  <c r="J29" i="7"/>
  <c r="E9" i="18"/>
  <c r="H29" i="7"/>
  <c r="C11" i="4"/>
  <c r="C14" i="4" s="1"/>
  <c r="C29" i="7"/>
  <c r="G11" i="4"/>
  <c r="G14" i="4" s="1"/>
  <c r="H41" i="4"/>
  <c r="H8" i="4" s="1"/>
  <c r="G3" i="20"/>
  <c r="C3" i="20"/>
  <c r="D3" i="20"/>
  <c r="I3" i="20"/>
  <c r="H3" i="20"/>
  <c r="E3" i="20"/>
  <c r="F3" i="20"/>
  <c r="I40" i="4"/>
  <c r="K25" i="19" l="1"/>
  <c r="K28" i="19" s="1"/>
  <c r="I13" i="7"/>
  <c r="J12" i="4"/>
  <c r="H11" i="4"/>
  <c r="H14" i="4" s="1"/>
  <c r="D11" i="4"/>
  <c r="D14" i="4" s="1"/>
  <c r="D29" i="7"/>
  <c r="E11" i="4"/>
  <c r="E14" i="4" s="1"/>
  <c r="E29" i="7"/>
  <c r="F11" i="4"/>
  <c r="F14" i="4" s="1"/>
  <c r="F29" i="7"/>
  <c r="I41" i="4"/>
  <c r="J40" i="4"/>
  <c r="J41" i="4" s="1"/>
  <c r="J8" i="4" s="1"/>
  <c r="I8" i="4" l="1"/>
  <c r="I11" i="4" s="1"/>
  <c r="I14" i="4" s="1"/>
  <c r="K13" i="7"/>
  <c r="K12" i="4"/>
  <c r="J13" i="7"/>
  <c r="K40" i="4"/>
  <c r="J11" i="4"/>
  <c r="J14" i="4" s="1"/>
  <c r="D12" i="14"/>
  <c r="C12" i="1"/>
  <c r="C35" i="1"/>
  <c r="J27" i="4"/>
  <c r="K27" i="4"/>
  <c r="K14" i="18" s="1"/>
  <c r="K41" i="4" l="1"/>
  <c r="C47" i="7"/>
  <c r="D13" i="14"/>
  <c r="C20" i="18"/>
  <c r="J14" i="18"/>
  <c r="J46" i="7"/>
  <c r="K46" i="7"/>
  <c r="E6" i="9"/>
  <c r="K8" i="4" l="1"/>
  <c r="K11" i="4" s="1"/>
  <c r="K14" i="4" s="1"/>
  <c r="D9" i="11"/>
  <c r="D14" i="14"/>
  <c r="D15" i="14" s="1"/>
  <c r="D16" i="14" s="1"/>
  <c r="D17" i="14" s="1"/>
  <c r="D18" i="14" s="1"/>
  <c r="E9" i="11" l="1"/>
  <c r="E10" i="11" s="1"/>
  <c r="C23" i="11"/>
  <c r="C26" i="11" s="1"/>
  <c r="D20" i="18"/>
  <c r="D47" i="7"/>
  <c r="D19" i="14"/>
  <c r="D20" i="14" s="1"/>
  <c r="D21" i="14" s="1"/>
  <c r="D22" i="14" s="1"/>
  <c r="D23" i="14" s="1"/>
  <c r="D24" i="14" s="1"/>
  <c r="D25" i="14" s="1"/>
  <c r="J48" i="7"/>
  <c r="K48" i="7"/>
  <c r="C12" i="10"/>
  <c r="C20" i="1"/>
  <c r="C16" i="1"/>
  <c r="F8" i="10"/>
  <c r="F7" i="10"/>
  <c r="E7" i="9"/>
  <c r="C9" i="1"/>
  <c r="D6" i="10" l="1"/>
  <c r="D12" i="10" s="1"/>
  <c r="D13" i="10" s="1"/>
  <c r="D14" i="10" s="1"/>
  <c r="C8" i="2"/>
  <c r="E20" i="18"/>
  <c r="E47" i="7"/>
  <c r="F20" i="18"/>
  <c r="F47" i="7"/>
  <c r="D11" i="18"/>
  <c r="C7" i="15"/>
  <c r="D26" i="14"/>
  <c r="E11" i="18"/>
  <c r="C13" i="10"/>
  <c r="C3" i="15"/>
  <c r="K6" i="12"/>
  <c r="E5" i="12"/>
  <c r="H6" i="12"/>
  <c r="E6" i="12"/>
  <c r="D6" i="12"/>
  <c r="F6" i="12"/>
  <c r="F5" i="12"/>
  <c r="G5" i="12"/>
  <c r="I6" i="12"/>
  <c r="B10" i="13" l="1"/>
  <c r="C10" i="7"/>
  <c r="F12" i="10"/>
  <c r="F6" i="10"/>
  <c r="C31" i="4"/>
  <c r="C4" i="2"/>
  <c r="C6" i="2" s="1"/>
  <c r="F13" i="10"/>
  <c r="D27" i="14"/>
  <c r="E14" i="9"/>
  <c r="E12" i="11" s="1"/>
  <c r="F3" i="15"/>
  <c r="F11" i="18"/>
  <c r="C14" i="10"/>
  <c r="F14" i="10" s="1"/>
  <c r="C10" i="13"/>
  <c r="D31" i="4"/>
  <c r="D10" i="7"/>
  <c r="E3" i="15"/>
  <c r="D3" i="15"/>
  <c r="H5" i="12"/>
  <c r="J5" i="12"/>
  <c r="C6" i="12"/>
  <c r="J6" i="12"/>
  <c r="D5" i="12"/>
  <c r="I5" i="12"/>
  <c r="C5" i="12"/>
  <c r="G6" i="12"/>
  <c r="K5" i="12"/>
  <c r="D15" i="10"/>
  <c r="D16" i="10" s="1"/>
  <c r="D17" i="10" s="1"/>
  <c r="C11" i="7" l="1"/>
  <c r="D9" i="7" s="1"/>
  <c r="D11" i="7" s="1"/>
  <c r="D40" i="7" s="1"/>
  <c r="F9" i="10"/>
  <c r="B28" i="18"/>
  <c r="B6" i="18"/>
  <c r="D4" i="14"/>
  <c r="D28" i="14"/>
  <c r="D29" i="14" s="1"/>
  <c r="D30" i="14" s="1"/>
  <c r="D31" i="14" s="1"/>
  <c r="D32" i="14" s="1"/>
  <c r="D33" i="14" s="1"/>
  <c r="D34" i="14" s="1"/>
  <c r="D35" i="14" s="1"/>
  <c r="E16" i="9"/>
  <c r="C16" i="4"/>
  <c r="C18" i="7"/>
  <c r="B5" i="18" s="1"/>
  <c r="G11" i="18"/>
  <c r="E31" i="4"/>
  <c r="E10" i="7"/>
  <c r="D10" i="13"/>
  <c r="C15" i="10"/>
  <c r="D18" i="10"/>
  <c r="D16" i="4" l="1"/>
  <c r="C18" i="4"/>
  <c r="B21" i="18"/>
  <c r="C4" i="18" s="1"/>
  <c r="C25" i="18" s="1"/>
  <c r="C26" i="18" s="1"/>
  <c r="B15" i="18"/>
  <c r="G47" i="7"/>
  <c r="C40" i="7"/>
  <c r="C9" i="14"/>
  <c r="E9" i="14" s="1"/>
  <c r="C10" i="14"/>
  <c r="E10" i="14" s="1"/>
  <c r="C11" i="14"/>
  <c r="D36" i="14"/>
  <c r="F15" i="10"/>
  <c r="G20" i="18"/>
  <c r="F9" i="18"/>
  <c r="H11" i="18"/>
  <c r="G3" i="15"/>
  <c r="E9" i="7"/>
  <c r="E11" i="7" s="1"/>
  <c r="E40" i="7" s="1"/>
  <c r="F10" i="7"/>
  <c r="E10" i="13"/>
  <c r="F31" i="4"/>
  <c r="C16" i="10"/>
  <c r="C17" i="10" s="1"/>
  <c r="D19" i="10"/>
  <c r="D20" i="10" s="1"/>
  <c r="E16" i="4" l="1"/>
  <c r="D18" i="4"/>
  <c r="E11" i="14"/>
  <c r="C12" i="14"/>
  <c r="D10" i="18"/>
  <c r="B30" i="18"/>
  <c r="B26" i="18"/>
  <c r="B31" i="18" s="1"/>
  <c r="F16" i="10"/>
  <c r="G9" i="18"/>
  <c r="I11" i="18"/>
  <c r="H3" i="15"/>
  <c r="F9" i="7"/>
  <c r="F11" i="7" s="1"/>
  <c r="F40" i="7" s="1"/>
  <c r="G10" i="7"/>
  <c r="F10" i="13"/>
  <c r="G31" i="4"/>
  <c r="C18" i="10"/>
  <c r="H31" i="4"/>
  <c r="F16" i="4" l="1"/>
  <c r="E18" i="4"/>
  <c r="E20" i="4" s="1"/>
  <c r="E12" i="14"/>
  <c r="E16" i="11" s="1"/>
  <c r="E17" i="11" s="1"/>
  <c r="C27" i="11" s="1"/>
  <c r="C28" i="11" s="1"/>
  <c r="C13" i="14"/>
  <c r="D12" i="18"/>
  <c r="E10" i="18"/>
  <c r="H47" i="7"/>
  <c r="H20" i="18"/>
  <c r="D20" i="4"/>
  <c r="D22" i="4" s="1"/>
  <c r="D49" i="7" s="1"/>
  <c r="F17" i="10"/>
  <c r="H9" i="18"/>
  <c r="J11" i="18"/>
  <c r="I3" i="15"/>
  <c r="G9" i="7"/>
  <c r="G11" i="7" s="1"/>
  <c r="H10" i="7"/>
  <c r="G10" i="13"/>
  <c r="C19" i="10"/>
  <c r="E12" i="18" l="1"/>
  <c r="G16" i="4"/>
  <c r="F18" i="4"/>
  <c r="F20" i="4" s="1"/>
  <c r="C25" i="4"/>
  <c r="C27" i="4" s="1"/>
  <c r="C14" i="18" s="1"/>
  <c r="E13" i="14"/>
  <c r="C22" i="7"/>
  <c r="C14" i="14"/>
  <c r="F10" i="18"/>
  <c r="I47" i="7"/>
  <c r="C4" i="20"/>
  <c r="C5" i="20" s="1"/>
  <c r="C6" i="20" s="1"/>
  <c r="F18" i="10"/>
  <c r="E22" i="4"/>
  <c r="E49" i="7" s="1"/>
  <c r="D4" i="20"/>
  <c r="C20" i="10"/>
  <c r="F19" i="10"/>
  <c r="I9" i="18"/>
  <c r="K11" i="18"/>
  <c r="G40" i="7"/>
  <c r="H9" i="7"/>
  <c r="H11" i="7" s="1"/>
  <c r="I10" i="7"/>
  <c r="I31" i="4"/>
  <c r="H10" i="13"/>
  <c r="I10" i="13"/>
  <c r="J10" i="7"/>
  <c r="J31" i="4"/>
  <c r="H16" i="4" l="1"/>
  <c r="G18" i="4"/>
  <c r="G20" i="4" s="1"/>
  <c r="F4" i="20" s="1"/>
  <c r="F5" i="20" s="1"/>
  <c r="F6" i="20" s="1"/>
  <c r="F12" i="18"/>
  <c r="C46" i="7"/>
  <c r="C48" i="7" s="1"/>
  <c r="C41" i="7"/>
  <c r="C42" i="7" s="1"/>
  <c r="C34" i="7"/>
  <c r="E14" i="14"/>
  <c r="C15" i="14"/>
  <c r="G10" i="18"/>
  <c r="F20" i="10"/>
  <c r="F22" i="4"/>
  <c r="F49" i="7" s="1"/>
  <c r="E4" i="20"/>
  <c r="E5" i="20" s="1"/>
  <c r="E6" i="20" s="1"/>
  <c r="D5" i="20"/>
  <c r="D6" i="20" s="1"/>
  <c r="K31" i="4"/>
  <c r="J10" i="13"/>
  <c r="J9" i="18"/>
  <c r="K9" i="18"/>
  <c r="H40" i="7"/>
  <c r="I9" i="7"/>
  <c r="I11" i="7" s="1"/>
  <c r="J9" i="7" s="1"/>
  <c r="J11" i="7" s="1"/>
  <c r="K10" i="7"/>
  <c r="G12" i="18" l="1"/>
  <c r="I16" i="4"/>
  <c r="H18" i="4"/>
  <c r="H12" i="18" s="1"/>
  <c r="E15" i="14"/>
  <c r="C16" i="14"/>
  <c r="H10" i="18"/>
  <c r="I40" i="7"/>
  <c r="J40" i="7"/>
  <c r="K9" i="7"/>
  <c r="K11" i="7" s="1"/>
  <c r="K40" i="7" s="1"/>
  <c r="G22" i="4"/>
  <c r="G49" i="7" s="1"/>
  <c r="H20" i="4" l="1"/>
  <c r="G4" i="20" s="1"/>
  <c r="G5" i="20" s="1"/>
  <c r="G6" i="20" s="1"/>
  <c r="J16" i="4"/>
  <c r="I18" i="4"/>
  <c r="I20" i="4" s="1"/>
  <c r="H4" i="20" s="1"/>
  <c r="H5" i="20" s="1"/>
  <c r="H6" i="20" s="1"/>
  <c r="E16" i="14"/>
  <c r="D25" i="4" s="1"/>
  <c r="D27" i="4" s="1"/>
  <c r="C17" i="14"/>
  <c r="I10" i="18"/>
  <c r="I20" i="18"/>
  <c r="I12" i="18" l="1"/>
  <c r="K16" i="4"/>
  <c r="K18" i="4" s="1"/>
  <c r="J18" i="4"/>
  <c r="J20" i="4" s="1"/>
  <c r="I4" i="20" s="1"/>
  <c r="I5" i="20" s="1"/>
  <c r="I6" i="20" s="1"/>
  <c r="E17" i="14"/>
  <c r="D22" i="7"/>
  <c r="C18" i="14"/>
  <c r="D14" i="18"/>
  <c r="D46" i="7"/>
  <c r="D48" i="7" s="1"/>
  <c r="D50" i="7" s="1"/>
  <c r="D29" i="4"/>
  <c r="J10" i="18"/>
  <c r="H22" i="4"/>
  <c r="H49" i="7" s="1"/>
  <c r="J12" i="18" l="1"/>
  <c r="D32" i="4"/>
  <c r="C7" i="13"/>
  <c r="C9" i="13" s="1"/>
  <c r="C11" i="13" s="1"/>
  <c r="C13" i="13" s="1"/>
  <c r="C14" i="13" s="1"/>
  <c r="D33" i="4" s="1"/>
  <c r="D16" i="18" s="1"/>
  <c r="E18" i="14"/>
  <c r="C19" i="14"/>
  <c r="D34" i="7"/>
  <c r="D41" i="7"/>
  <c r="D42" i="7" s="1"/>
  <c r="K10" i="18"/>
  <c r="E19" i="14" l="1"/>
  <c r="C20" i="14"/>
  <c r="C7" i="20"/>
  <c r="D34" i="4"/>
  <c r="K12" i="18"/>
  <c r="K20" i="4"/>
  <c r="J4" i="20" s="1"/>
  <c r="J5" i="20" s="1"/>
  <c r="J6" i="20" s="1"/>
  <c r="I22" i="4"/>
  <c r="I49" i="7" s="1"/>
  <c r="D18" i="18" l="1"/>
  <c r="D27" i="18" s="1"/>
  <c r="D28" i="18" s="1"/>
  <c r="C8" i="20"/>
  <c r="E20" i="14"/>
  <c r="E25" i="4" s="1"/>
  <c r="E27" i="4" s="1"/>
  <c r="C21" i="14"/>
  <c r="D36" i="4" l="1"/>
  <c r="D19" i="7" s="1"/>
  <c r="E29" i="4"/>
  <c r="E46" i="7"/>
  <c r="E48" i="7" s="1"/>
  <c r="E50" i="7" s="1"/>
  <c r="E14" i="18"/>
  <c r="E21" i="14"/>
  <c r="C22" i="14"/>
  <c r="E22" i="7"/>
  <c r="E34" i="7" l="1"/>
  <c r="E41" i="7"/>
  <c r="E42" i="7" s="1"/>
  <c r="E22" i="14"/>
  <c r="C23" i="14"/>
  <c r="E32" i="4"/>
  <c r="D7" i="13"/>
  <c r="D9" i="13" s="1"/>
  <c r="D11" i="13" s="1"/>
  <c r="D13" i="13" s="1"/>
  <c r="D14" i="13" s="1"/>
  <c r="E33" i="4" s="1"/>
  <c r="E16" i="18" s="1"/>
  <c r="J22" i="4"/>
  <c r="J3" i="15"/>
  <c r="K3" i="15"/>
  <c r="D7" i="20" l="1"/>
  <c r="E34" i="4"/>
  <c r="E23" i="14"/>
  <c r="C24" i="14"/>
  <c r="J29" i="4"/>
  <c r="J32" i="4" s="1"/>
  <c r="J49" i="7"/>
  <c r="K22" i="4"/>
  <c r="E24" i="14" l="1"/>
  <c r="F25" i="4" s="1"/>
  <c r="F27" i="4" s="1"/>
  <c r="C25" i="14"/>
  <c r="E18" i="18"/>
  <c r="E27" i="18" s="1"/>
  <c r="E28" i="18" s="1"/>
  <c r="D8" i="20"/>
  <c r="I7" i="20"/>
  <c r="I7" i="13"/>
  <c r="I9" i="13" s="1"/>
  <c r="I11" i="13" s="1"/>
  <c r="I13" i="13" s="1"/>
  <c r="I14" i="13" s="1"/>
  <c r="J33" i="4" s="1"/>
  <c r="J16" i="18" s="1"/>
  <c r="K29" i="4"/>
  <c r="K32" i="4" s="1"/>
  <c r="K49" i="7"/>
  <c r="E36" i="4" l="1"/>
  <c r="E19" i="7" s="1"/>
  <c r="F46" i="7"/>
  <c r="F48" i="7" s="1"/>
  <c r="F50" i="7" s="1"/>
  <c r="F29" i="4"/>
  <c r="F14" i="18"/>
  <c r="E25" i="14"/>
  <c r="F22" i="7"/>
  <c r="C26" i="14"/>
  <c r="J7" i="20"/>
  <c r="J34" i="4"/>
  <c r="J7" i="13"/>
  <c r="J9" i="13" s="1"/>
  <c r="J11" i="13" s="1"/>
  <c r="J13" i="13" s="1"/>
  <c r="J14" i="13" s="1"/>
  <c r="K33" i="4" s="1"/>
  <c r="E26" i="14" l="1"/>
  <c r="C27" i="14"/>
  <c r="F34" i="7"/>
  <c r="F41" i="7"/>
  <c r="F42" i="7" s="1"/>
  <c r="F32" i="4"/>
  <c r="E7" i="13"/>
  <c r="E9" i="13" s="1"/>
  <c r="E11" i="13" s="1"/>
  <c r="E13" i="13" s="1"/>
  <c r="E14" i="13" s="1"/>
  <c r="F33" i="4" s="1"/>
  <c r="F16" i="18" s="1"/>
  <c r="J36" i="4"/>
  <c r="J19" i="7" s="1"/>
  <c r="I8" i="20"/>
  <c r="K34" i="4"/>
  <c r="K16" i="18"/>
  <c r="C28" i="14" l="1"/>
  <c r="E27" i="14"/>
  <c r="E7" i="20"/>
  <c r="F34" i="4"/>
  <c r="J18" i="18"/>
  <c r="J27" i="18" s="1"/>
  <c r="K36" i="4"/>
  <c r="K19" i="7" s="1"/>
  <c r="J8" i="20"/>
  <c r="F18" i="18" l="1"/>
  <c r="F27" i="18" s="1"/>
  <c r="F28" i="18" s="1"/>
  <c r="E8" i="20"/>
  <c r="C29" i="14"/>
  <c r="E28" i="14"/>
  <c r="G25" i="4" s="1"/>
  <c r="G27" i="4" s="1"/>
  <c r="G22" i="7"/>
  <c r="J28" i="18"/>
  <c r="K18" i="18"/>
  <c r="K27" i="18" s="1"/>
  <c r="F36" i="4" l="1"/>
  <c r="F19" i="7" s="1"/>
  <c r="G41" i="7"/>
  <c r="G42" i="7" s="1"/>
  <c r="G34" i="7"/>
  <c r="C30" i="14"/>
  <c r="E29" i="14"/>
  <c r="G14" i="18"/>
  <c r="G46" i="7"/>
  <c r="G48" i="7" s="1"/>
  <c r="G50" i="7" s="1"/>
  <c r="G29" i="4"/>
  <c r="K28" i="18"/>
  <c r="G32" i="4" l="1"/>
  <c r="F7" i="13"/>
  <c r="F9" i="13" s="1"/>
  <c r="F11" i="13" s="1"/>
  <c r="F13" i="13" s="1"/>
  <c r="F14" i="13" s="1"/>
  <c r="G33" i="4" s="1"/>
  <c r="G16" i="18" s="1"/>
  <c r="E30" i="14"/>
  <c r="C31" i="14"/>
  <c r="C32" i="14" l="1"/>
  <c r="E31" i="14"/>
  <c r="F7" i="20"/>
  <c r="G34" i="4"/>
  <c r="G18" i="18" l="1"/>
  <c r="G27" i="18" s="1"/>
  <c r="G28" i="18" s="1"/>
  <c r="F8" i="20"/>
  <c r="C33" i="14"/>
  <c r="E32" i="14"/>
  <c r="H25" i="4" s="1"/>
  <c r="H27" i="4" s="1"/>
  <c r="H22" i="7"/>
  <c r="G36" i="4" l="1"/>
  <c r="G19" i="7" s="1"/>
  <c r="H46" i="7"/>
  <c r="H48" i="7" s="1"/>
  <c r="H50" i="7" s="1"/>
  <c r="H29" i="4"/>
  <c r="H14" i="18"/>
  <c r="H34" i="7"/>
  <c r="H41" i="7"/>
  <c r="F43" i="7" s="1"/>
  <c r="E33" i="14"/>
  <c r="C34" i="14"/>
  <c r="C35" i="14" l="1"/>
  <c r="E34" i="14"/>
  <c r="H32" i="4"/>
  <c r="G7" i="13"/>
  <c r="G9" i="13" s="1"/>
  <c r="G11" i="13" s="1"/>
  <c r="G13" i="13" s="1"/>
  <c r="G14" i="13" s="1"/>
  <c r="H33" i="4" s="1"/>
  <c r="H16" i="18" s="1"/>
  <c r="G7" i="20" l="1"/>
  <c r="H34" i="4"/>
  <c r="C36" i="14"/>
  <c r="E36" i="14" s="1"/>
  <c r="E35" i="14"/>
  <c r="I25" i="4" l="1"/>
  <c r="I27" i="4" s="1"/>
  <c r="I14" i="18" s="1"/>
  <c r="H18" i="18"/>
  <c r="H27" i="18" s="1"/>
  <c r="H28" i="18" s="1"/>
  <c r="G8" i="20"/>
  <c r="I29" i="4" l="1"/>
  <c r="I32" i="4" s="1"/>
  <c r="I46" i="7"/>
  <c r="I48" i="7" s="1"/>
  <c r="H36" i="4"/>
  <c r="H19" i="7" s="1"/>
  <c r="H7" i="13" l="1"/>
  <c r="H9" i="13" s="1"/>
  <c r="H11" i="13" s="1"/>
  <c r="H13" i="13" s="1"/>
  <c r="H14" i="13" s="1"/>
  <c r="I33" i="4" s="1"/>
  <c r="I16" i="18" s="1"/>
  <c r="H7" i="20"/>
  <c r="I34" i="4" l="1"/>
  <c r="H8" i="20" l="1"/>
  <c r="I18" i="18"/>
  <c r="I27" i="18" s="1"/>
  <c r="I28" i="18" s="1"/>
  <c r="I36" i="4"/>
  <c r="I19" i="7" s="1"/>
  <c r="C12" i="18"/>
  <c r="C15" i="18" s="1"/>
  <c r="C20" i="4"/>
  <c r="C22" i="4" l="1"/>
  <c r="B4" i="20"/>
  <c r="B5" i="20" s="1"/>
  <c r="B6" i="20" s="1"/>
  <c r="C49" i="7" l="1"/>
  <c r="C50" i="7" s="1"/>
  <c r="F51" i="7" s="1"/>
  <c r="C29" i="4"/>
  <c r="C32" i="4" s="1"/>
  <c r="B7" i="13" l="1"/>
  <c r="B9" i="13" s="1"/>
  <c r="B11" i="13" s="1"/>
  <c r="B13" i="13" s="1"/>
  <c r="B14" i="13" s="1"/>
  <c r="C33" i="4" s="1"/>
  <c r="C16" i="18" s="1"/>
  <c r="C17" i="18" l="1"/>
  <c r="C34" i="4"/>
  <c r="B7" i="20"/>
  <c r="B8" i="20" l="1"/>
  <c r="C18" i="18" l="1"/>
  <c r="C27" i="18" s="1"/>
  <c r="C36"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<sst xmlns="http://schemas.openxmlformats.org/spreadsheetml/2006/main" count="457" uniqueCount="335">
  <si>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</si>
  <si>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</si>
  <si>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</si>
  <si>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</si>
  <si>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</si>
  <si>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</si>
  <si>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</si>
  <si>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</si>
  <si>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</si>
  <si>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</si>
  <si>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</si>
  <si>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</si>
  <si>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</si>
  <si>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</si>
  <si>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</si>
  <si>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</si>
  <si>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</si>
  <si>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</si>
  <si>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</si>
  <si>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</si>
  <si>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</si>
  <si>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</si>
  <si>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</si>
  <si>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</si>
  <si>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</si>
  <si>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</si>
  <si>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</si>
  <si>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</si>
  <si>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</si>
  <si>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</si>
  <si>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</si>
  <si>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</si>
  <si>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</si>
  <si>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</si>
  <si>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</si>
  <si>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</si>
  <si>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</si>
  <si>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</si>
  <si>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</si>
  <si>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</si>
  <si>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</si>
  <si>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</si>
  <si>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</si>
  <si>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</si>
  <si>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</si>
  <si>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</si>
  <si>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</si>
  <si>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</si>
  <si>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</si>
  <si>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</si>
  <si>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</si>
  <si>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</si>
  <si>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</si>
  <si>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</si>
  <si>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</si>
  <si>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</si>
  <si>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</si>
  <si>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</si>
  <si>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</si>
  <si>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</si>
  <si>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</si>
  <si>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</si>
  <si>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</si>
  <si>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</si>
  <si>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</si>
  <si>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</si>
  <si>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</si>
  <si>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</si>
  <si>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</si>
  <si>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</si>
  <si>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</si>
  <si>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</si>
  <si>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</si>
  <si>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</si>
  <si>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</si>
  <si>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</si>
  <si>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</si>
  <si>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</si>
  <si>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</si>
  <si>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</si>
  <si>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</si>
  <si>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</si>
  <si>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</si>
  <si>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</si>
  <si>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</si>
  <si>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</si>
  <si>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</si>
  <si>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</si>
  <si>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</si>
  <si>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</si>
  <si>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</si>
  <si>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</si>
  <si>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</si>
  <si>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</si>
  <si>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</si>
  <si>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</si>
  <si>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</si>
  <si>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</si>
  <si>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</si>
  <si>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</si>
  <si>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</si>
  <si>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</si>
  <si>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</si>
  <si>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</si>
  <si>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</si>
  <si>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</si>
  <si>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</si>
  <si>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</si>
  <si>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</si>
  <si>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</si>
  <si>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</si>
  <si>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</si>
  <si>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</si>
  <si>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</si>
  <si>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</si>
  <si>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</si>
  <si>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</si>
  <si>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</si>
  <si>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</si>
  <si>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</si>
  <si>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</si>
  <si>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</si>
  <si>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</si>
  <si>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</si>
  <si>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</si>
  <si>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</si>
  <si>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</si>
  <si>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</si>
  <si>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</si>
  <si>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</si>
  <si>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</si>
  <si>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</si>
  <si>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</si>
  <si>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</si>
  <si>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</si>
  <si>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</si>
  <si>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</si>
  <si>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</si>
  <si>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</si>
  <si>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</si>
  <si>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</si>
  <si>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</si>
  <si>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</si>
  <si>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</si>
  <si>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</si>
  <si>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</si>
  <si>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</si>
  <si>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</si>
  <si>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</si>
  <si>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</si>
  <si>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</si>
  <si>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</si>
  <si>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</si>
  <si>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</si>
  <si>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</si>
  <si>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</si>
  <si>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</si>
  <si>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</si>
  <si>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</si>
  <si>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</si>
  <si>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</si>
  <si>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</si>
  <si>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</si>
  <si>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</si>
  <si>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</si>
  <si>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</si>
  <si>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</si>
  <si>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</si>
  <si>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</si>
  <si>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</si>
  <si>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</si>
  <si>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</si>
  <si>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</si>
  <si>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</si>
  <si>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</si>
  <si>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</si>
  <si>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</si>
  <si>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</si>
  <si>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</si>
  <si>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</si>
  <si>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</si>
  <si>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</si>
  <si>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</si>
  <si>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</si>
  <si>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</si>
  <si>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</si>
  <si>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</si>
  <si>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</si>
  <si>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</si>
  <si>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</si>
  <si>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</si>
  <si>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</si>
  <si>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</si>
  <si>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</si>
  <si>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</si>
  <si>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</si>
  <si>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</si>
  <si>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</si>
  <si>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</si>
  <si>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</si>
  <si>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</si>
  <si>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</si>
  <si>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</si>
  <si>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</si>
  <si>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</si>
  <si>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</si>
  <si>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</si>
  <si>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</si>
  <si>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</si>
  <si>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</si>
  <si>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</si>
  <si>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</si>
  <si>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</si>
  <si>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</si>
  <si>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</si>
  <si>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</si>
  <si>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</si>
  <si>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</si>
  <si>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</si>
  <si>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iv.</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</si>
  <si>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</si>
  <si>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</si>
  <si>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</si>
  <si>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</si>
  <si>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</si>
  <si>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</si>
  <si>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</si>
  <si>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</si>
  <si>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</si>
  <si>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</si>
  <si>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</si>
  <si>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</si>
  <si>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</si>
  <si>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</si>
  <si>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</si>
  <si>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</si>
  <si>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</si>
  <si>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</si>
  <si>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</si>
  <si>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</si>
  <si>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</si>
  <si>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</si>
  <si>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</si>
  <si>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</si>
  <si>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</si>
  <si>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</si>
  <si>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</si>
  <si>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</si>
  <si>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</si>
  <si>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</si>
  <si>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Grain Cleaning &amp; Sorting Sieves of Capacity 2 Ton Per Hour, complete with Electric Motor &amp; Blower.</t>
  </si>
  <si>
    <t>Gravity De-Stoner Machine of capacity 2 Ton per hour, with Motor &amp; Blower, including all Std. accessories.</t>
  </si>
  <si>
    <t>Rubber Sheller, Husker with Gearbox &amp; Motor</t>
  </si>
  <si>
    <t>Gravity Paddy Separator with Motor</t>
  </si>
  <si>
    <t>Rotary Glaze Machine with blower &amp; water pump</t>
  </si>
  <si>
    <t>All Elevator with Accessories</t>
  </si>
  <si>
    <t>Rice polisher with Blower without Motor</t>
  </si>
  <si>
    <t>All structural equipments, Main Line &amp; Pipe line etc.</t>
  </si>
  <si>
    <t>Hot Air Blowing Dryer Machine</t>
  </si>
  <si>
    <t>30 H.P Electric Motor, of “Crompton” make, TEFC Model, complete Set, with Starters &amp; Main Switch.</t>
  </si>
  <si>
    <t>Transportation, erection, VAT etc</t>
  </si>
  <si>
    <t>3. Miscellanoeus Fixed Asset</t>
  </si>
  <si>
    <t>Civil work for building</t>
  </si>
  <si>
    <t>Factory manager</t>
  </si>
  <si>
    <t>Accountant cum cashier</t>
  </si>
  <si>
    <t>Mechanic</t>
  </si>
  <si>
    <t xml:space="preserve">v. </t>
  </si>
  <si>
    <t>Labour</t>
  </si>
  <si>
    <t>Add: benefits @ 10%</t>
  </si>
  <si>
    <t>Insurance cost @ 2% of purchase cost</t>
  </si>
  <si>
    <t>It is assumed that insuarance cost is 2% of purchase price and this will increase 5% annually</t>
  </si>
  <si>
    <t>Add: Opening Stock</t>
  </si>
  <si>
    <t>Less: Closing Stock</t>
  </si>
  <si>
    <t>225 days</t>
  </si>
  <si>
    <t>Operational days</t>
  </si>
  <si>
    <t>purchase price per kg</t>
  </si>
  <si>
    <t>sales prices per kg</t>
  </si>
  <si>
    <t>Production Budget</t>
  </si>
  <si>
    <t>Estimation of Production capacity</t>
  </si>
  <si>
    <t>Opening Stock</t>
  </si>
  <si>
    <t>Production</t>
  </si>
  <si>
    <t>Closing Stock</t>
  </si>
  <si>
    <t>Input paddy cost</t>
  </si>
  <si>
    <t>Less: Land purchase</t>
  </si>
  <si>
    <t>Closing stock</t>
  </si>
  <si>
    <t xml:space="preserve">It is assumed that 2/3rd capacity of rice mill is used to process own produce, i.e., to process paddy into rice which is further sold by rice mill in the market. The balance 1/3rd capacity is used to process the government produce, for such processing rice mill charges minimal processing charges. </t>
  </si>
  <si>
    <t>In case of processing own produce, paddy is procured from farmers and processed for selling. While for government produce, paddy is provided to mill for further processing and only processing charges are taken for such work.</t>
  </si>
  <si>
    <t>Processing charges for government produce per kg</t>
  </si>
  <si>
    <t>Total revenue</t>
  </si>
  <si>
    <t>Total Financial expense</t>
  </si>
  <si>
    <t>Variable costs</t>
  </si>
  <si>
    <t>Inut paddy cost</t>
  </si>
  <si>
    <t>Electricity cost</t>
  </si>
  <si>
    <t>Running and maintenance</t>
  </si>
  <si>
    <t>Interest on working capital</t>
  </si>
  <si>
    <t>Contribution per unit</t>
  </si>
  <si>
    <t>Fixed charges for office</t>
  </si>
  <si>
    <t>Fixed charge for office</t>
  </si>
  <si>
    <t>Sales proce per kg is Rs. 50 (considering single type of output rice) which will increase 5% annually</t>
  </si>
  <si>
    <t>2. Electricity usage in units is given below</t>
  </si>
  <si>
    <t>3. It is assumed that insuarance cost is 2% of purchase price and this will increase 5% annually</t>
  </si>
  <si>
    <t>See note</t>
  </si>
  <si>
    <t>Note- It is assumed that some of the labour remains even in the off days, considering working days to be 300 days</t>
  </si>
  <si>
    <t>Input output ratio is taken to be 70%</t>
  </si>
  <si>
    <t>Running and Manintenance expense @10% of sales</t>
  </si>
  <si>
    <t>Sale of by products -Husk</t>
  </si>
  <si>
    <t>Sale of by products -Bran</t>
  </si>
  <si>
    <t>Assumed that Husk being by product of producing the rice, is 10% of the total production capacity. Sale price of husk per kg is rs. 10</t>
  </si>
  <si>
    <t>For the first year of operation the break-even capacity comes at 11.31%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</si>
  <si>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4. Closing stock is valued at Rs 38 (avg cost)</t>
  </si>
  <si>
    <t>1. asssumed that 30 days of purchases are average creditors maintained</t>
  </si>
  <si>
    <t>2. assumed that 30 days of sales are average debtors maintained by the business</t>
  </si>
  <si>
    <t>Annexure 14 - Cash flow statement</t>
  </si>
  <si>
    <t>1. Electricity are semi-fixed cost. Rs. 100,000 pa is fixed, balance is variable at Rs. 10 per unit usage</t>
  </si>
  <si>
    <t>Electricity are semi-fixed cost. Rs. 100,000 pa is fixed, balance is variable at Rs. 10 per unit usage</t>
  </si>
  <si>
    <t>A.</t>
  </si>
  <si>
    <t>B.</t>
  </si>
  <si>
    <t>C.</t>
  </si>
  <si>
    <t>D.</t>
  </si>
  <si>
    <t>E.</t>
  </si>
  <si>
    <t>F.</t>
  </si>
  <si>
    <t>G.</t>
  </si>
  <si>
    <t>H.</t>
  </si>
  <si>
    <t>I.</t>
  </si>
  <si>
    <t>Production capacity (kgs) [A. X Total capacity]</t>
  </si>
  <si>
    <t>Own produce (kgs) [B. X 2/3]</t>
  </si>
  <si>
    <t>Government produce (kgs) [B. X 1/3]</t>
  </si>
  <si>
    <t>Revenue from sale of own produce [C. X Sale price per kg]</t>
  </si>
  <si>
    <t>Revenue from processing government produce [D. X Processing charges]</t>
  </si>
  <si>
    <t>Input required (kgs) [C. X Input output ratio]</t>
  </si>
  <si>
    <t>Ann 14'!A1</t>
  </si>
  <si>
    <t>Income Tax/ savings on tax</t>
  </si>
  <si>
    <t>Distribution of profits (40%)</t>
  </si>
  <si>
    <t>Asssumed that 30 days of purchases are average creditors maintained</t>
  </si>
  <si>
    <t>Assumed that 30 days of sales are average debtors maintained by the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</si>
</sst>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u/>
      <sz val="11"/>
      <color theme="10"/>
      <name val="Calibri"/>
      <family val="2"/>
      <scheme val="minor"/>
    </font>
    <font>
      <sz val="11"/>
      <color theme="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23">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0" fontId="2" fillId="0" borderId="1" xfId="0" applyFont="1" applyBorder="1"/>
    <xf numFmtId="0" fontId="5" fillId="0" borderId="1" xfId="3" quotePrefix="1" applyBorder="1"/>
    <xf numFmtId="0" fontId="5" fillId="0" borderId="1" xfId="3" applyBorder="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4" xfId="0" applyBorder="1"/>
    <xf numFmtId="0" fontId="0" fillId="0" borderId="6" xfId="0" applyBorder="1" applyAlignment="1">
      <alignment horizontal="left" wrapText="1"/>
    </xf>
    <xf numFmtId="43" fontId="0" fillId="0" borderId="0" xfId="1" applyFont="1"/>
    <xf numFmtId="0" fontId="2" fillId="0" borderId="13" xfId="0" applyFont="1" applyBorder="1"/>
    <xf numFmtId="0" fontId="2" fillId="0" borderId="14" xfId="0" applyFont="1" applyBorder="1"/>
    <xf numFmtId="164" fontId="2" fillId="0" borderId="10" xfId="0" applyNumberFormat="1" applyFont="1" applyBorder="1"/>
    <xf numFmtId="164" fontId="0" fillId="0" borderId="9" xfId="1" applyNumberFormat="1" applyFont="1" applyFill="1" applyBorder="1" applyAlignment="1">
      <alignment horizontal="left"/>
    </xf>
    <xf numFmtId="2" fontId="0" fillId="0" borderId="1" xfId="1" applyNumberFormat="1" applyFont="1" applyBorder="1"/>
    <xf numFmtId="10" fontId="0" fillId="3" borderId="0" xfId="0" applyNumberFormat="1" applyFill="1"/>
    <xf numFmtId="0" fontId="0" fillId="3" borderId="0" xfId="0" applyFill="1" applyAlignment="1">
      <alignment horizontal="right"/>
    </xf>
    <xf numFmtId="164" fontId="6" fillId="0" borderId="0" xfId="1" applyNumberFormat="1" applyFont="1"/>
    <xf numFmtId="10" fontId="6" fillId="0" borderId="0" xfId="1" applyNumberFormat="1" applyFont="1"/>
    <xf numFmtId="0" fontId="6" fillId="0" borderId="0" xfId="0" applyFont="1"/>
    <xf numFmtId="166" fontId="6" fillId="0" borderId="0" xfId="1" applyNumberFormat="1" applyFont="1"/>
    <xf numFmtId="2" fontId="0" fillId="0" borderId="9" xfId="0" applyNumberFormat="1" applyBorder="1"/>
    <xf numFmtId="168" fontId="0" fillId="0" borderId="9" xfId="1" applyNumberFormat="1" applyFont="1" applyBorder="1"/>
    <xf numFmtId="164" fontId="0" fillId="0" borderId="0" xfId="1" applyNumberFormat="1" applyFont="1" applyAlignment="1">
      <alignment horizontal="right"/>
    </xf>
    <xf numFmtId="16" fontId="0" fillId="0" borderId="0" xfId="0" applyNumberFormat="1"/>
    <xf numFmtId="9" fontId="0" fillId="0" borderId="1" xfId="0" applyNumberFormat="1" applyBorder="1" applyAlignment="1">
      <alignment horizontal="center"/>
    </xf>
    <xf numFmtId="0" fontId="0" fillId="0" borderId="1" xfId="0" applyBorder="1" applyAlignment="1">
      <alignment horizontal="center"/>
    </xf>
    <xf numFmtId="164" fontId="0" fillId="0" borderId="1" xfId="1" applyNumberFormat="1" applyFont="1" applyBorder="1" applyAlignment="1">
      <alignment horizontal="right"/>
    </xf>
    <xf numFmtId="43" fontId="0" fillId="0" borderId="10" xfId="1" applyFont="1" applyBorder="1"/>
    <xf numFmtId="0" fontId="0" fillId="0" borderId="0" xfId="0" applyFont="1"/>
    <xf numFmtId="0" fontId="0" fillId="2" borderId="1" xfId="0" applyFont="1" applyFill="1" applyBorder="1"/>
    <xf numFmtId="0" fontId="0" fillId="0" borderId="1" xfId="0" applyFont="1" applyBorder="1"/>
    <xf numFmtId="164" fontId="0" fillId="0" borderId="0" xfId="0" applyNumberFormat="1" applyFont="1"/>
    <xf numFmtId="0" fontId="0" fillId="2" borderId="1" xfId="0" applyFont="1" applyFill="1" applyBorder="1" applyAlignment="1">
      <alignment horizontal="center"/>
    </xf>
    <xf numFmtId="0" fontId="0" fillId="2" borderId="1" xfId="0" applyFill="1" applyBorder="1" applyAlignment="1">
      <alignment horizontal="center"/>
    </xf>
    <xf numFmtId="9" fontId="2" fillId="0" borderId="1" xfId="0" applyNumberFormat="1" applyFont="1" applyBorder="1"/>
    <xf numFmtId="0" fontId="2" fillId="2" borderId="1" xfId="0" applyFont="1" applyFill="1" applyBorder="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4" sqref="A14"/>
    </sheetView>
  </sheetViews>
  <sheetFormatPr defaultRowHeight="14.5" x14ac:dyDescent="0.35"/>
  <cols>
    <col min="1" max="1" width="57.90625" bestFit="1" customWidth="1"/>
    <col min="2" max="2" width="14.453125" bestFit="1" customWidth="1"/>
  </cols>
  <sheetData>
    <row r="1" spans="1:2" x14ac:dyDescent="0.35">
      <c r="A1" s="22" t="s">
        <v>201</v>
      </c>
    </row>
    <row r="3" spans="1:2" x14ac:dyDescent="0.35">
      <c r="A3" s="115" t="s">
        <v>202</v>
      </c>
      <c r="B3" s="115" t="s">
        <v>203</v>
      </c>
    </row>
    <row r="4" spans="1:2" x14ac:dyDescent="0.35">
      <c r="A4" s="12" t="str">
        <f>'[1]Ann 1'!A3</f>
        <v>Annexure 1 - Estimated cost of the project</v>
      </c>
      <c r="B4" s="80" t="s">
        <v>204</v>
      </c>
    </row>
    <row r="5" spans="1:2" x14ac:dyDescent="0.35">
      <c r="A5" s="12" t="str">
        <f>'[1]Ann 2'!A1</f>
        <v>Annexure 2 - Means of Finance</v>
      </c>
      <c r="B5" s="80" t="s">
        <v>205</v>
      </c>
    </row>
    <row r="6" spans="1:2" x14ac:dyDescent="0.35">
      <c r="A6" s="12" t="str">
        <f>'Ann 3'!A1</f>
        <v>Annexure 3 - Complete Estimate of Civil and Plant and Machinery</v>
      </c>
      <c r="B6" s="80" t="s">
        <v>221</v>
      </c>
    </row>
    <row r="7" spans="1:2" x14ac:dyDescent="0.35">
      <c r="A7" s="12" t="str">
        <f>'[1]Ann 4'!A1</f>
        <v>Annexure 4 - Estimated Cost of Production</v>
      </c>
      <c r="B7" s="80" t="s">
        <v>206</v>
      </c>
    </row>
    <row r="8" spans="1:2" x14ac:dyDescent="0.35">
      <c r="A8" s="12" t="str">
        <f>'[1]Ann 5'!A1</f>
        <v>Annexure 5- Projected balance sheet</v>
      </c>
      <c r="B8" s="80" t="s">
        <v>207</v>
      </c>
    </row>
    <row r="9" spans="1:2" x14ac:dyDescent="0.35">
      <c r="A9" s="12" t="str">
        <f>'Ann 8'!A1</f>
        <v>Annexure 8 - Details of Mnpower</v>
      </c>
      <c r="B9" s="80" t="s">
        <v>208</v>
      </c>
    </row>
    <row r="10" spans="1:2" x14ac:dyDescent="0.35">
      <c r="A10" s="12" t="str">
        <f>'Ann 9'!A1</f>
        <v>Annexure 9 - Computation of Depreciation</v>
      </c>
      <c r="B10" s="80" t="s">
        <v>209</v>
      </c>
    </row>
    <row r="11" spans="1:2" x14ac:dyDescent="0.35">
      <c r="A11" s="12" t="str">
        <f>'Ann 10'!A1</f>
        <v>Annexure 10 - Calculation of Income tax</v>
      </c>
      <c r="B11" s="80" t="s">
        <v>210</v>
      </c>
    </row>
    <row r="12" spans="1:2" x14ac:dyDescent="0.35">
      <c r="A12" s="12" t="str">
        <f>'[1]Ann 11'!A1</f>
        <v>Annexure 11- Break even analysis (At maximum capacity utilization)</v>
      </c>
      <c r="B12" s="80" t="s">
        <v>211</v>
      </c>
    </row>
    <row r="13" spans="1:2" x14ac:dyDescent="0.35">
      <c r="A13" s="12" t="str">
        <f>'Ann 13'!A1</f>
        <v>Annexure 13 - Repayment schedule</v>
      </c>
      <c r="B13" s="80" t="s">
        <v>212</v>
      </c>
    </row>
    <row r="14" spans="1:2" x14ac:dyDescent="0.35">
      <c r="A14" s="12" t="str">
        <f>'Ann 14'!A1</f>
        <v>Annexure 14 - Cash flow statement</v>
      </c>
      <c r="B14" s="80" t="s">
        <v>330</v>
      </c>
    </row>
    <row r="15" spans="1:2" x14ac:dyDescent="0.35">
      <c r="A15" s="12" t="str">
        <f>[1]Assumptions!B1</f>
        <v>Assumptions</v>
      </c>
      <c r="B15" s="81" t="s">
        <v>213</v>
      </c>
    </row>
    <row r="16" spans="1:2" x14ac:dyDescent="0.35">
      <c r="A16" s="12" t="str">
        <f>[1]Budgets!A1</f>
        <v>Sales Budget</v>
      </c>
      <c r="B16" s="81" t="s">
        <v>214</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C838FF0E-FB21-4681-BB24-3699D664F32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104</v>
      </c>
    </row>
    <row r="3" spans="1:10" x14ac:dyDescent="0.35">
      <c r="A3" s="3" t="s">
        <v>105</v>
      </c>
    </row>
    <row r="5" spans="1:10" x14ac:dyDescent="0.35">
      <c r="A5" s="117" t="s">
        <v>3</v>
      </c>
      <c r="B5" s="117" t="s">
        <v>48</v>
      </c>
      <c r="C5" s="117"/>
      <c r="D5" s="117"/>
      <c r="E5" s="117"/>
      <c r="F5" s="117"/>
      <c r="G5" s="117"/>
      <c r="H5" s="117"/>
      <c r="I5" s="117"/>
      <c r="J5" s="117"/>
    </row>
    <row r="6" spans="1:10" x14ac:dyDescent="0.35">
      <c r="A6" s="117"/>
      <c r="B6" s="34" t="s">
        <v>39</v>
      </c>
      <c r="C6" s="34" t="s">
        <v>40</v>
      </c>
      <c r="D6" s="34" t="s">
        <v>41</v>
      </c>
      <c r="E6" s="34" t="s">
        <v>42</v>
      </c>
      <c r="F6" s="34" t="s">
        <v>43</v>
      </c>
      <c r="G6" s="34" t="s">
        <v>44</v>
      </c>
      <c r="H6" s="34" t="s">
        <v>45</v>
      </c>
      <c r="I6" s="34" t="s">
        <v>46</v>
      </c>
      <c r="J6" s="34" t="s">
        <v>47</v>
      </c>
    </row>
    <row r="7" spans="1:10" x14ac:dyDescent="0.35">
      <c r="A7" s="12" t="s">
        <v>106</v>
      </c>
      <c r="B7" s="30">
        <f>'Ann 4'!C29</f>
        <v>52467</v>
      </c>
      <c r="C7" s="30">
        <f>'Ann 4'!D29</f>
        <v>1747976.7857142836</v>
      </c>
      <c r="D7" s="30">
        <f>'Ann 4'!E29</f>
        <v>2012951.7964285687</v>
      </c>
      <c r="E7" s="30">
        <f>'Ann 4'!F29</f>
        <v>2272754.7433928475</v>
      </c>
      <c r="F7" s="30">
        <f>'Ann 4'!G29</f>
        <v>2527127.0234196335</v>
      </c>
      <c r="G7" s="30">
        <f>'Ann 4'!H29</f>
        <v>1977797.1031620505</v>
      </c>
      <c r="H7" s="30">
        <f>'Ann 4'!I29</f>
        <v>2178479.8726058751</v>
      </c>
      <c r="I7" s="30">
        <f>'Ann 4'!J29</f>
        <v>2116064.0715375096</v>
      </c>
      <c r="J7" s="30">
        <f>'Ann 4'!K29</f>
        <v>2012620.3804157153</v>
      </c>
    </row>
    <row r="8" spans="1:10" x14ac:dyDescent="0.35">
      <c r="A8" s="12" t="s">
        <v>107</v>
      </c>
      <c r="B8" s="30">
        <v>0</v>
      </c>
      <c r="C8" s="30">
        <v>0</v>
      </c>
      <c r="D8" s="30">
        <v>0</v>
      </c>
      <c r="E8" s="30">
        <v>0</v>
      </c>
      <c r="F8" s="30">
        <v>0</v>
      </c>
      <c r="G8" s="30">
        <v>0</v>
      </c>
      <c r="H8" s="30">
        <v>0</v>
      </c>
      <c r="I8" s="30">
        <v>0</v>
      </c>
      <c r="J8" s="30">
        <v>0</v>
      </c>
    </row>
    <row r="9" spans="1:10" x14ac:dyDescent="0.35">
      <c r="A9" s="12" t="s">
        <v>108</v>
      </c>
      <c r="B9" s="30">
        <f>B7+B8</f>
        <v>52467</v>
      </c>
      <c r="C9" s="30">
        <f t="shared" ref="C9:J9" si="0">C7+C8</f>
        <v>1747976.7857142836</v>
      </c>
      <c r="D9" s="30">
        <f t="shared" si="0"/>
        <v>2012951.7964285687</v>
      </c>
      <c r="E9" s="30">
        <f t="shared" si="0"/>
        <v>2272754.7433928475</v>
      </c>
      <c r="F9" s="30">
        <f t="shared" si="0"/>
        <v>2527127.0234196335</v>
      </c>
      <c r="G9" s="30">
        <f t="shared" si="0"/>
        <v>1977797.1031620505</v>
      </c>
      <c r="H9" s="30">
        <f t="shared" si="0"/>
        <v>2178479.8726058751</v>
      </c>
      <c r="I9" s="30">
        <f t="shared" si="0"/>
        <v>2116064.0715375096</v>
      </c>
      <c r="J9" s="30">
        <f t="shared" si="0"/>
        <v>2012620.3804157153</v>
      </c>
    </row>
    <row r="10" spans="1:10" x14ac:dyDescent="0.35">
      <c r="A10" s="12" t="s">
        <v>109</v>
      </c>
      <c r="B10" s="30">
        <f>SUM('Ann 9'!C12:E12)</f>
        <v>734475</v>
      </c>
      <c r="C10" s="30">
        <f>SUM('Ann 9'!C13:E13)</f>
        <v>644261.25</v>
      </c>
      <c r="D10" s="30">
        <f>SUM('Ann 9'!C14:E14)</f>
        <v>565583.8125</v>
      </c>
      <c r="E10" s="30">
        <f>SUM('Ann 9'!C15:E15)</f>
        <v>496911.81562499993</v>
      </c>
      <c r="F10" s="30">
        <f>SUM('Ann 9'!C16:E16)</f>
        <v>436924.06078125001</v>
      </c>
      <c r="G10" s="30">
        <f>SUM('Ann 9'!C17:E17)</f>
        <v>384479.56741406251</v>
      </c>
      <c r="H10" s="30">
        <f>SUM('Ann 9'!C18:E18)</f>
        <v>338592.33647695312</v>
      </c>
      <c r="I10" s="30">
        <f>SUM('Ann 9'!C19:E19)</f>
        <v>298409.71976291022</v>
      </c>
      <c r="J10" s="30">
        <f>SUM('Ann 9'!C20:E20)</f>
        <v>263193.87218022364</v>
      </c>
    </row>
    <row r="11" spans="1:10" x14ac:dyDescent="0.35">
      <c r="A11" s="12" t="s">
        <v>108</v>
      </c>
      <c r="B11" s="30">
        <f>B9-B10</f>
        <v>-682008</v>
      </c>
      <c r="C11" s="30">
        <f t="shared" ref="C11:J11" si="1">C9-C10</f>
        <v>1103715.5357142836</v>
      </c>
      <c r="D11" s="30">
        <f t="shared" si="1"/>
        <v>1447367.9839285687</v>
      </c>
      <c r="E11" s="30">
        <f t="shared" si="1"/>
        <v>1775842.9277678477</v>
      </c>
      <c r="F11" s="30">
        <f t="shared" si="1"/>
        <v>2090202.9626383835</v>
      </c>
      <c r="G11" s="30">
        <f t="shared" si="1"/>
        <v>1593317.5357479879</v>
      </c>
      <c r="H11" s="30">
        <f t="shared" si="1"/>
        <v>1839887.5361289219</v>
      </c>
      <c r="I11" s="30">
        <f t="shared" si="1"/>
        <v>1817654.3517745994</v>
      </c>
      <c r="J11" s="30">
        <f t="shared" si="1"/>
        <v>1749426.5082354916</v>
      </c>
    </row>
    <row r="12" spans="1:10" x14ac:dyDescent="0.35">
      <c r="A12" s="12" t="s">
        <v>110</v>
      </c>
      <c r="B12" s="54">
        <v>0</v>
      </c>
      <c r="C12" s="54">
        <v>0</v>
      </c>
      <c r="D12" s="54">
        <v>0</v>
      </c>
      <c r="E12" s="54">
        <v>0</v>
      </c>
      <c r="F12" s="54">
        <v>0</v>
      </c>
      <c r="G12" s="54">
        <v>0</v>
      </c>
      <c r="H12" s="54">
        <v>0</v>
      </c>
      <c r="I12" s="54">
        <v>0</v>
      </c>
      <c r="J12" s="54">
        <v>0</v>
      </c>
    </row>
    <row r="13" spans="1:10" x14ac:dyDescent="0.35">
      <c r="A13" s="12" t="s">
        <v>111</v>
      </c>
      <c r="B13" s="40">
        <f>B11</f>
        <v>-682008</v>
      </c>
      <c r="C13" s="40">
        <f t="shared" ref="C13:J13" si="2">C11</f>
        <v>1103715.5357142836</v>
      </c>
      <c r="D13" s="40">
        <f t="shared" si="2"/>
        <v>1447367.9839285687</v>
      </c>
      <c r="E13" s="40">
        <f t="shared" si="2"/>
        <v>1775842.9277678477</v>
      </c>
      <c r="F13" s="40">
        <f t="shared" si="2"/>
        <v>2090202.9626383835</v>
      </c>
      <c r="G13" s="40">
        <f t="shared" si="2"/>
        <v>1593317.5357479879</v>
      </c>
      <c r="H13" s="40">
        <f t="shared" si="2"/>
        <v>1839887.5361289219</v>
      </c>
      <c r="I13" s="40">
        <f t="shared" si="2"/>
        <v>1817654.3517745994</v>
      </c>
      <c r="J13" s="40">
        <f t="shared" si="2"/>
        <v>1749426.5082354916</v>
      </c>
    </row>
    <row r="14" spans="1:10" x14ac:dyDescent="0.35">
      <c r="A14" s="12" t="s">
        <v>112</v>
      </c>
      <c r="B14" s="40">
        <f>B13*30%</f>
        <v>-204602.4</v>
      </c>
      <c r="C14" s="40">
        <f t="shared" ref="C14:J14" si="3">C13*30%</f>
        <v>331114.66071428504</v>
      </c>
      <c r="D14" s="40">
        <f t="shared" si="3"/>
        <v>434210.39517857059</v>
      </c>
      <c r="E14" s="40">
        <f t="shared" si="3"/>
        <v>532752.87833035423</v>
      </c>
      <c r="F14" s="40">
        <f t="shared" si="3"/>
        <v>627060.88879151503</v>
      </c>
      <c r="G14" s="40">
        <f t="shared" si="3"/>
        <v>477995.26072439633</v>
      </c>
      <c r="H14" s="40">
        <f t="shared" si="3"/>
        <v>551966.26083867659</v>
      </c>
      <c r="I14" s="40">
        <f t="shared" si="3"/>
        <v>545296.30553237977</v>
      </c>
      <c r="J14" s="40">
        <f t="shared" si="3"/>
        <v>524827.9524706474</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1"/>
  <sheetViews>
    <sheetView topLeftCell="A8" workbookViewId="0">
      <selection activeCell="C22" sqref="C22"/>
    </sheetView>
  </sheetViews>
  <sheetFormatPr defaultRowHeight="14.5" x14ac:dyDescent="0.35"/>
  <cols>
    <col min="2" max="2" width="26.7265625" bestFit="1" customWidth="1"/>
    <col min="3" max="3" width="14.6328125" bestFit="1" customWidth="1"/>
    <col min="4" max="4" width="13.54296875" bestFit="1" customWidth="1"/>
    <col min="5" max="5" width="13.6328125" bestFit="1" customWidth="1"/>
    <col min="15" max="15" width="13.6328125" bestFit="1" customWidth="1"/>
    <col min="16" max="16" width="12.54296875" bestFit="1" customWidth="1"/>
  </cols>
  <sheetData>
    <row r="1" spans="1:7" x14ac:dyDescent="0.35">
      <c r="A1" s="22" t="s">
        <v>70</v>
      </c>
    </row>
    <row r="3" spans="1:7" x14ac:dyDescent="0.35">
      <c r="A3" s="3" t="s">
        <v>71</v>
      </c>
    </row>
    <row r="5" spans="1:7" x14ac:dyDescent="0.35">
      <c r="B5" t="s">
        <v>50</v>
      </c>
      <c r="E5" s="15">
        <f>'Ann 4'!C21/70%</f>
        <v>55590000</v>
      </c>
    </row>
    <row r="6" spans="1:7" x14ac:dyDescent="0.35">
      <c r="B6" t="s">
        <v>72</v>
      </c>
    </row>
    <row r="7" spans="1:7" x14ac:dyDescent="0.35">
      <c r="B7" s="23" t="s">
        <v>73</v>
      </c>
      <c r="D7" s="16">
        <f>E5*5%</f>
        <v>2779500</v>
      </c>
    </row>
    <row r="8" spans="1:7" x14ac:dyDescent="0.35">
      <c r="B8" s="23" t="s">
        <v>74</v>
      </c>
      <c r="D8" s="16">
        <f>'Ann 2'!C7*100000*10%</f>
        <v>222300</v>
      </c>
      <c r="E8" s="16"/>
    </row>
    <row r="9" spans="1:7" x14ac:dyDescent="0.35">
      <c r="B9" s="23" t="s">
        <v>77</v>
      </c>
      <c r="D9" s="16">
        <f>'Ann 4'!K41</f>
        <v>670047.8203125</v>
      </c>
      <c r="E9" s="16">
        <f>SUM(D7:D9)</f>
        <v>3671847.8203125</v>
      </c>
      <c r="G9" s="24"/>
    </row>
    <row r="10" spans="1:7" x14ac:dyDescent="0.35">
      <c r="B10" t="s">
        <v>75</v>
      </c>
      <c r="E10" s="16">
        <f>E5-E9</f>
        <v>51918152.1796875</v>
      </c>
    </row>
    <row r="11" spans="1:7" x14ac:dyDescent="0.35">
      <c r="B11" t="s">
        <v>247</v>
      </c>
    </row>
    <row r="12" spans="1:7" x14ac:dyDescent="0.35">
      <c r="B12" t="s">
        <v>76</v>
      </c>
      <c r="E12" s="16">
        <f>'Ann 8'!E14</f>
        <v>1425600</v>
      </c>
    </row>
    <row r="13" spans="1:7" x14ac:dyDescent="0.35">
      <c r="B13" t="s">
        <v>78</v>
      </c>
      <c r="E13" s="16">
        <f>'Ann 9'!F12</f>
        <v>734475</v>
      </c>
    </row>
    <row r="14" spans="1:7" x14ac:dyDescent="0.35">
      <c r="B14" t="s">
        <v>296</v>
      </c>
      <c r="E14" s="16">
        <v>200000</v>
      </c>
    </row>
    <row r="15" spans="1:7" x14ac:dyDescent="0.35">
      <c r="B15" t="s">
        <v>245</v>
      </c>
      <c r="E15" s="16">
        <v>100000</v>
      </c>
    </row>
    <row r="16" spans="1:7" x14ac:dyDescent="0.35">
      <c r="B16" t="s">
        <v>197</v>
      </c>
      <c r="E16" s="16">
        <f>SUM('Ann 13'!E9:E12)*100000</f>
        <v>370622.99999999994</v>
      </c>
    </row>
    <row r="17" spans="1:5" x14ac:dyDescent="0.35">
      <c r="B17" t="s">
        <v>79</v>
      </c>
      <c r="E17" s="16">
        <f>SUM(E12:E16)</f>
        <v>2830698</v>
      </c>
    </row>
    <row r="19" spans="1:5" x14ac:dyDescent="0.35">
      <c r="C19" t="s">
        <v>248</v>
      </c>
    </row>
    <row r="20" spans="1:5" x14ac:dyDescent="0.35">
      <c r="B20" t="s">
        <v>80</v>
      </c>
      <c r="C20">
        <f>Budgets!D21</f>
        <v>38</v>
      </c>
    </row>
    <row r="21" spans="1:5" x14ac:dyDescent="0.35">
      <c r="B21" t="s">
        <v>290</v>
      </c>
    </row>
    <row r="22" spans="1:5" x14ac:dyDescent="0.35">
      <c r="B22" t="s">
        <v>291</v>
      </c>
      <c r="C22">
        <f>Budgets!E21*1.1</f>
        <v>19.8</v>
      </c>
    </row>
    <row r="23" spans="1:5" x14ac:dyDescent="0.35">
      <c r="B23" t="s">
        <v>292</v>
      </c>
      <c r="C23" s="24">
        <f>D9/Budgets!C21</f>
        <v>0.37224878906249997</v>
      </c>
    </row>
    <row r="24" spans="1:5" x14ac:dyDescent="0.35">
      <c r="B24" t="s">
        <v>293</v>
      </c>
      <c r="C24">
        <f>C20*10%</f>
        <v>3.8000000000000003</v>
      </c>
    </row>
    <row r="25" spans="1:5" x14ac:dyDescent="0.35">
      <c r="B25" t="s">
        <v>294</v>
      </c>
      <c r="C25" s="24">
        <f>D8/Budgets!C17</f>
        <v>0.1235</v>
      </c>
    </row>
    <row r="26" spans="1:5" x14ac:dyDescent="0.35">
      <c r="B26" t="s">
        <v>295</v>
      </c>
      <c r="C26">
        <f>C20-SUM(C22:C25)</f>
        <v>13.904251210937499</v>
      </c>
    </row>
    <row r="27" spans="1:5" x14ac:dyDescent="0.35">
      <c r="B27" t="s">
        <v>246</v>
      </c>
      <c r="C27" s="88">
        <f>E17/C26</f>
        <v>203585.07315901259</v>
      </c>
    </row>
    <row r="28" spans="1:5" x14ac:dyDescent="0.35">
      <c r="B28" t="s">
        <v>196</v>
      </c>
      <c r="C28" s="42">
        <f>C27/Budgets!C21</f>
        <v>0.11310281842167366</v>
      </c>
    </row>
    <row r="29" spans="1:5" x14ac:dyDescent="0.35">
      <c r="C29" s="42"/>
    </row>
    <row r="30" spans="1:5" ht="49" customHeight="1" x14ac:dyDescent="0.35">
      <c r="A30" s="119" t="s">
        <v>222</v>
      </c>
      <c r="B30" s="119"/>
      <c r="C30" s="119"/>
      <c r="D30" s="119"/>
      <c r="E30" s="119"/>
    </row>
    <row r="31" spans="1:5" ht="86.5" customHeight="1" x14ac:dyDescent="0.35">
      <c r="A31" s="119" t="s">
        <v>308</v>
      </c>
      <c r="B31" s="119"/>
      <c r="C31" s="119"/>
      <c r="D31" s="119"/>
      <c r="E31" s="119"/>
    </row>
  </sheetData>
  <mergeCells count="2">
    <mergeCell ref="A30:E30"/>
    <mergeCell ref="A31:E3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20" t="s">
        <v>82</v>
      </c>
      <c r="D3" s="120"/>
      <c r="E3" s="120"/>
      <c r="F3" s="120"/>
      <c r="G3" s="120"/>
      <c r="H3" s="120"/>
      <c r="I3" s="120"/>
      <c r="J3" s="120"/>
      <c r="K3" s="120"/>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A33" sqref="A33:A36"/>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91</v>
      </c>
    </row>
    <row r="3" spans="1:7" x14ac:dyDescent="0.35">
      <c r="A3" s="3" t="s">
        <v>92</v>
      </c>
    </row>
    <row r="4" spans="1:7" x14ac:dyDescent="0.35">
      <c r="A4" t="s">
        <v>93</v>
      </c>
      <c r="D4" s="76">
        <f>'Ann 2'!C6</f>
        <v>62.370000000000005</v>
      </c>
    </row>
    <row r="5" spans="1:7" x14ac:dyDescent="0.35">
      <c r="A5" t="s">
        <v>94</v>
      </c>
      <c r="D5" s="94">
        <v>0.06</v>
      </c>
    </row>
    <row r="6" spans="1:7" x14ac:dyDescent="0.35">
      <c r="A6" t="s">
        <v>95</v>
      </c>
      <c r="D6" s="95" t="s">
        <v>153</v>
      </c>
    </row>
    <row r="8" spans="1:7" x14ac:dyDescent="0.35">
      <c r="A8" s="34" t="s">
        <v>69</v>
      </c>
      <c r="B8" s="34" t="s">
        <v>96</v>
      </c>
      <c r="C8" s="34" t="s">
        <v>97</v>
      </c>
      <c r="D8" s="34" t="s">
        <v>99</v>
      </c>
      <c r="E8" s="34" t="s">
        <v>98</v>
      </c>
    </row>
    <row r="9" spans="1:7" x14ac:dyDescent="0.35">
      <c r="A9" s="121">
        <v>1</v>
      </c>
      <c r="B9" s="12">
        <v>1</v>
      </c>
      <c r="C9" s="65">
        <f>$D$4</f>
        <v>62.370000000000005</v>
      </c>
      <c r="D9" s="12">
        <v>0</v>
      </c>
      <c r="E9" s="12">
        <f>C9*$D$5/4</f>
        <v>0.93554999999999999</v>
      </c>
    </row>
    <row r="10" spans="1:7" x14ac:dyDescent="0.35">
      <c r="A10" s="121"/>
      <c r="B10" s="12">
        <v>2</v>
      </c>
      <c r="C10" s="65">
        <f>$D$4</f>
        <v>62.370000000000005</v>
      </c>
      <c r="D10" s="12">
        <v>0</v>
      </c>
      <c r="E10" s="12">
        <f t="shared" ref="E10:E36" si="0">C10*$D$5/4</f>
        <v>0.93554999999999999</v>
      </c>
      <c r="G10" s="68"/>
    </row>
    <row r="11" spans="1:7" x14ac:dyDescent="0.35">
      <c r="A11" s="121"/>
      <c r="B11" s="12">
        <v>3</v>
      </c>
      <c r="C11" s="65">
        <f>$D$4</f>
        <v>62.370000000000005</v>
      </c>
      <c r="D11" s="12">
        <v>2.3980000000000001</v>
      </c>
      <c r="E11" s="12">
        <f t="shared" si="0"/>
        <v>0.93554999999999999</v>
      </c>
    </row>
    <row r="12" spans="1:7" x14ac:dyDescent="0.35">
      <c r="A12" s="121"/>
      <c r="B12" s="12">
        <v>4</v>
      </c>
      <c r="C12" s="12">
        <f t="shared" ref="C12:C17" si="1">C11-D11</f>
        <v>59.972000000000001</v>
      </c>
      <c r="D12" s="12">
        <f>D11</f>
        <v>2.3980000000000001</v>
      </c>
      <c r="E12" s="12">
        <f t="shared" si="0"/>
        <v>0.89957999999999994</v>
      </c>
    </row>
    <row r="13" spans="1:7" x14ac:dyDescent="0.35">
      <c r="A13" s="121">
        <v>2</v>
      </c>
      <c r="B13" s="12">
        <v>1</v>
      </c>
      <c r="C13" s="12">
        <f t="shared" si="1"/>
        <v>57.573999999999998</v>
      </c>
      <c r="D13" s="12">
        <f t="shared" ref="D13:D35" si="2">D12</f>
        <v>2.3980000000000001</v>
      </c>
      <c r="E13" s="12">
        <f t="shared" si="0"/>
        <v>0.86360999999999999</v>
      </c>
    </row>
    <row r="14" spans="1:7" x14ac:dyDescent="0.35">
      <c r="A14" s="121"/>
      <c r="B14" s="12">
        <v>2</v>
      </c>
      <c r="C14" s="12">
        <f t="shared" si="1"/>
        <v>55.175999999999995</v>
      </c>
      <c r="D14" s="12">
        <f t="shared" si="2"/>
        <v>2.3980000000000001</v>
      </c>
      <c r="E14" s="12">
        <f t="shared" si="0"/>
        <v>0.82763999999999993</v>
      </c>
    </row>
    <row r="15" spans="1:7" x14ac:dyDescent="0.35">
      <c r="A15" s="121"/>
      <c r="B15" s="12">
        <v>3</v>
      </c>
      <c r="C15" s="12">
        <f t="shared" si="1"/>
        <v>52.777999999999992</v>
      </c>
      <c r="D15" s="12">
        <f t="shared" si="2"/>
        <v>2.3980000000000001</v>
      </c>
      <c r="E15" s="12">
        <f t="shared" si="0"/>
        <v>0.79166999999999987</v>
      </c>
    </row>
    <row r="16" spans="1:7" x14ac:dyDescent="0.35">
      <c r="A16" s="121"/>
      <c r="B16" s="12">
        <v>4</v>
      </c>
      <c r="C16" s="12">
        <f t="shared" si="1"/>
        <v>50.379999999999988</v>
      </c>
      <c r="D16" s="12">
        <f t="shared" si="2"/>
        <v>2.3980000000000001</v>
      </c>
      <c r="E16" s="12">
        <f t="shared" si="0"/>
        <v>0.75569999999999982</v>
      </c>
    </row>
    <row r="17" spans="1:5" x14ac:dyDescent="0.35">
      <c r="A17" s="121">
        <v>3</v>
      </c>
      <c r="B17" s="12">
        <v>1</v>
      </c>
      <c r="C17" s="12">
        <f t="shared" si="1"/>
        <v>47.981999999999985</v>
      </c>
      <c r="D17" s="12">
        <f t="shared" si="2"/>
        <v>2.3980000000000001</v>
      </c>
      <c r="E17" s="12">
        <f t="shared" si="0"/>
        <v>0.71972999999999976</v>
      </c>
    </row>
    <row r="18" spans="1:5" x14ac:dyDescent="0.35">
      <c r="A18" s="121"/>
      <c r="B18" s="12">
        <v>2</v>
      </c>
      <c r="C18" s="12">
        <f t="shared" ref="C18:C36" si="3">C17-D17</f>
        <v>45.583999999999982</v>
      </c>
      <c r="D18" s="12">
        <f t="shared" si="2"/>
        <v>2.3980000000000001</v>
      </c>
      <c r="E18" s="12">
        <f t="shared" si="0"/>
        <v>0.6837599999999997</v>
      </c>
    </row>
    <row r="19" spans="1:5" x14ac:dyDescent="0.35">
      <c r="A19" s="121"/>
      <c r="B19" s="12">
        <v>3</v>
      </c>
      <c r="C19" s="12">
        <f t="shared" si="3"/>
        <v>43.185999999999979</v>
      </c>
      <c r="D19" s="12">
        <f t="shared" si="2"/>
        <v>2.3980000000000001</v>
      </c>
      <c r="E19" s="12">
        <f t="shared" si="0"/>
        <v>0.64778999999999964</v>
      </c>
    </row>
    <row r="20" spans="1:5" x14ac:dyDescent="0.35">
      <c r="A20" s="121"/>
      <c r="B20" s="12">
        <v>4</v>
      </c>
      <c r="C20" s="12">
        <f t="shared" si="3"/>
        <v>40.787999999999975</v>
      </c>
      <c r="D20" s="12">
        <f t="shared" si="2"/>
        <v>2.3980000000000001</v>
      </c>
      <c r="E20" s="12">
        <f t="shared" si="0"/>
        <v>0.61181999999999959</v>
      </c>
    </row>
    <row r="21" spans="1:5" x14ac:dyDescent="0.35">
      <c r="A21" s="121">
        <v>4</v>
      </c>
      <c r="B21" s="12">
        <v>1</v>
      </c>
      <c r="C21" s="12">
        <f t="shared" si="3"/>
        <v>38.389999999999972</v>
      </c>
      <c r="D21" s="12">
        <f t="shared" si="2"/>
        <v>2.3980000000000001</v>
      </c>
      <c r="E21" s="12">
        <f t="shared" si="0"/>
        <v>0.57584999999999953</v>
      </c>
    </row>
    <row r="22" spans="1:5" x14ac:dyDescent="0.35">
      <c r="A22" s="121"/>
      <c r="B22" s="12">
        <v>2</v>
      </c>
      <c r="C22" s="12">
        <f t="shared" si="3"/>
        <v>35.991999999999969</v>
      </c>
      <c r="D22" s="12">
        <f t="shared" si="2"/>
        <v>2.3980000000000001</v>
      </c>
      <c r="E22" s="12">
        <f t="shared" si="0"/>
        <v>0.53987999999999947</v>
      </c>
    </row>
    <row r="23" spans="1:5" x14ac:dyDescent="0.35">
      <c r="A23" s="121"/>
      <c r="B23" s="12">
        <v>3</v>
      </c>
      <c r="C23" s="12">
        <f t="shared" si="3"/>
        <v>33.593999999999966</v>
      </c>
      <c r="D23" s="12">
        <f t="shared" si="2"/>
        <v>2.3980000000000001</v>
      </c>
      <c r="E23" s="12">
        <f t="shared" si="0"/>
        <v>0.50390999999999941</v>
      </c>
    </row>
    <row r="24" spans="1:5" x14ac:dyDescent="0.35">
      <c r="A24" s="121"/>
      <c r="B24" s="12">
        <v>4</v>
      </c>
      <c r="C24" s="12">
        <f t="shared" si="3"/>
        <v>31.195999999999966</v>
      </c>
      <c r="D24" s="12">
        <f t="shared" si="2"/>
        <v>2.3980000000000001</v>
      </c>
      <c r="E24" s="12">
        <f t="shared" si="0"/>
        <v>0.46793999999999947</v>
      </c>
    </row>
    <row r="25" spans="1:5" x14ac:dyDescent="0.35">
      <c r="A25" s="121">
        <v>5</v>
      </c>
      <c r="B25" s="12">
        <v>1</v>
      </c>
      <c r="C25" s="12">
        <f t="shared" si="3"/>
        <v>28.797999999999966</v>
      </c>
      <c r="D25" s="12">
        <f t="shared" si="2"/>
        <v>2.3980000000000001</v>
      </c>
      <c r="E25" s="12">
        <f t="shared" si="0"/>
        <v>0.43196999999999947</v>
      </c>
    </row>
    <row r="26" spans="1:5" x14ac:dyDescent="0.35">
      <c r="A26" s="121"/>
      <c r="B26" s="12">
        <v>2</v>
      </c>
      <c r="C26" s="12">
        <f t="shared" si="3"/>
        <v>26.399999999999967</v>
      </c>
      <c r="D26" s="12">
        <f t="shared" si="2"/>
        <v>2.3980000000000001</v>
      </c>
      <c r="E26" s="12">
        <f t="shared" si="0"/>
        <v>0.39599999999999946</v>
      </c>
    </row>
    <row r="27" spans="1:5" x14ac:dyDescent="0.35">
      <c r="A27" s="121"/>
      <c r="B27" s="12">
        <v>3</v>
      </c>
      <c r="C27" s="12">
        <f t="shared" si="3"/>
        <v>24.001999999999967</v>
      </c>
      <c r="D27" s="12">
        <f t="shared" si="2"/>
        <v>2.3980000000000001</v>
      </c>
      <c r="E27" s="12">
        <f t="shared" si="0"/>
        <v>0.36002999999999952</v>
      </c>
    </row>
    <row r="28" spans="1:5" x14ac:dyDescent="0.35">
      <c r="A28" s="121"/>
      <c r="B28" s="12">
        <v>4</v>
      </c>
      <c r="C28" s="12">
        <f t="shared" si="3"/>
        <v>21.603999999999967</v>
      </c>
      <c r="D28" s="12">
        <f t="shared" si="2"/>
        <v>2.3980000000000001</v>
      </c>
      <c r="E28" s="12">
        <f t="shared" si="0"/>
        <v>0.32405999999999952</v>
      </c>
    </row>
    <row r="29" spans="1:5" x14ac:dyDescent="0.35">
      <c r="A29" s="121">
        <v>6</v>
      </c>
      <c r="B29" s="12">
        <v>1</v>
      </c>
      <c r="C29" s="12">
        <f t="shared" si="3"/>
        <v>19.205999999999968</v>
      </c>
      <c r="D29" s="12">
        <f t="shared" si="2"/>
        <v>2.3980000000000001</v>
      </c>
      <c r="E29" s="12">
        <f t="shared" si="0"/>
        <v>0.28808999999999951</v>
      </c>
    </row>
    <row r="30" spans="1:5" x14ac:dyDescent="0.35">
      <c r="A30" s="121"/>
      <c r="B30" s="12">
        <v>2</v>
      </c>
      <c r="C30" s="12">
        <f t="shared" si="3"/>
        <v>16.807999999999968</v>
      </c>
      <c r="D30" s="12">
        <f t="shared" si="2"/>
        <v>2.3980000000000001</v>
      </c>
      <c r="E30" s="12">
        <f t="shared" si="0"/>
        <v>0.25211999999999951</v>
      </c>
    </row>
    <row r="31" spans="1:5" x14ac:dyDescent="0.35">
      <c r="A31" s="121"/>
      <c r="B31" s="12">
        <v>3</v>
      </c>
      <c r="C31" s="12">
        <f t="shared" si="3"/>
        <v>14.409999999999968</v>
      </c>
      <c r="D31" s="12">
        <f t="shared" si="2"/>
        <v>2.3980000000000001</v>
      </c>
      <c r="E31" s="12">
        <f t="shared" si="0"/>
        <v>0.21614999999999951</v>
      </c>
    </row>
    <row r="32" spans="1:5" x14ac:dyDescent="0.35">
      <c r="A32" s="121"/>
      <c r="B32" s="12">
        <v>4</v>
      </c>
      <c r="C32" s="12">
        <f t="shared" si="3"/>
        <v>12.011999999999968</v>
      </c>
      <c r="D32" s="12">
        <f t="shared" si="2"/>
        <v>2.3980000000000001</v>
      </c>
      <c r="E32" s="12">
        <f t="shared" si="0"/>
        <v>0.18017999999999951</v>
      </c>
    </row>
    <row r="33" spans="1:5" x14ac:dyDescent="0.35">
      <c r="A33" s="121">
        <v>7</v>
      </c>
      <c r="B33" s="12">
        <v>1</v>
      </c>
      <c r="C33" s="12">
        <f t="shared" si="3"/>
        <v>9.6139999999999688</v>
      </c>
      <c r="D33" s="12">
        <f t="shared" si="2"/>
        <v>2.3980000000000001</v>
      </c>
      <c r="E33" s="12">
        <f t="shared" si="0"/>
        <v>0.14420999999999953</v>
      </c>
    </row>
    <row r="34" spans="1:5" x14ac:dyDescent="0.35">
      <c r="A34" s="121"/>
      <c r="B34" s="12">
        <v>2</v>
      </c>
      <c r="C34" s="12">
        <f t="shared" si="3"/>
        <v>7.2159999999999691</v>
      </c>
      <c r="D34" s="12">
        <f t="shared" si="2"/>
        <v>2.3980000000000001</v>
      </c>
      <c r="E34" s="12">
        <f t="shared" si="0"/>
        <v>0.10823999999999953</v>
      </c>
    </row>
    <row r="35" spans="1:5" x14ac:dyDescent="0.35">
      <c r="A35" s="121"/>
      <c r="B35" s="12">
        <v>3</v>
      </c>
      <c r="C35" s="12">
        <f t="shared" si="3"/>
        <v>4.8179999999999694</v>
      </c>
      <c r="D35" s="12">
        <f t="shared" si="2"/>
        <v>2.3980000000000001</v>
      </c>
      <c r="E35" s="12">
        <f t="shared" si="0"/>
        <v>7.2269999999999543E-2</v>
      </c>
    </row>
    <row r="36" spans="1:5" x14ac:dyDescent="0.35">
      <c r="A36" s="121"/>
      <c r="B36" s="12">
        <v>4</v>
      </c>
      <c r="C36" s="12">
        <f t="shared" si="3"/>
        <v>2.4199999999999693</v>
      </c>
      <c r="D36" s="65">
        <f>D4-SUM(D9:D35)</f>
        <v>2.4199999999999662</v>
      </c>
      <c r="E36" s="12">
        <f t="shared" si="0"/>
        <v>3.6299999999999541E-2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workbookViewId="0">
      <selection activeCell="A3" sqref="A3"/>
    </sheetView>
  </sheetViews>
  <sheetFormatPr defaultRowHeight="14.5" x14ac:dyDescent="0.35"/>
  <cols>
    <col min="1" max="1" width="41.1796875" style="108" bestFit="1" customWidth="1"/>
    <col min="2" max="2" width="14.7265625" style="108" customWidth="1"/>
    <col min="3" max="11" width="14.7265625" style="108" bestFit="1" customWidth="1"/>
    <col min="12" max="12" width="13.6328125" style="108" bestFit="1" customWidth="1"/>
    <col min="13" max="16384" width="8.7265625" style="108"/>
  </cols>
  <sheetData>
    <row r="1" spans="1:11" x14ac:dyDescent="0.35">
      <c r="A1" s="22" t="s">
        <v>312</v>
      </c>
      <c r="B1" s="22"/>
    </row>
    <row r="2" spans="1:11" x14ac:dyDescent="0.35">
      <c r="A2" s="22"/>
      <c r="B2" s="22"/>
    </row>
    <row r="3" spans="1:11" x14ac:dyDescent="0.35">
      <c r="A3" s="109" t="s">
        <v>3</v>
      </c>
      <c r="B3" s="112">
        <v>0</v>
      </c>
      <c r="C3" s="109" t="s">
        <v>39</v>
      </c>
      <c r="D3" s="109" t="s">
        <v>40</v>
      </c>
      <c r="E3" s="109" t="s">
        <v>41</v>
      </c>
      <c r="F3" s="109" t="s">
        <v>42</v>
      </c>
      <c r="G3" s="109" t="s">
        <v>43</v>
      </c>
      <c r="H3" s="109" t="s">
        <v>44</v>
      </c>
      <c r="I3" s="109" t="s">
        <v>45</v>
      </c>
      <c r="J3" s="109" t="s">
        <v>46</v>
      </c>
      <c r="K3" s="109" t="s">
        <v>47</v>
      </c>
    </row>
    <row r="4" spans="1:11" x14ac:dyDescent="0.35">
      <c r="A4" s="110" t="s">
        <v>159</v>
      </c>
      <c r="B4" s="30">
        <f>'Ann 2'!C7*100000</f>
        <v>2223000</v>
      </c>
      <c r="C4" s="30">
        <f>B21</f>
        <v>2223000</v>
      </c>
      <c r="D4" s="30">
        <f>C21</f>
        <v>1487994.4</v>
      </c>
      <c r="E4" s="30">
        <f t="shared" ref="E4:K4" si="0">D21</f>
        <v>1177760.8178571393</v>
      </c>
      <c r="F4" s="30">
        <f t="shared" si="0"/>
        <v>1031883.8264642796</v>
      </c>
      <c r="G4" s="30">
        <f t="shared" si="0"/>
        <v>934294.31460891827</v>
      </c>
      <c r="H4" s="30">
        <f t="shared" si="0"/>
        <v>887748.26255543693</v>
      </c>
      <c r="I4" s="30">
        <f t="shared" si="0"/>
        <v>1357065.8378407941</v>
      </c>
      <c r="J4" s="30">
        <f t="shared" si="0"/>
        <v>1902855.582349041</v>
      </c>
      <c r="K4" s="30">
        <f t="shared" si="0"/>
        <v>3384680.1298572812</v>
      </c>
    </row>
    <row r="5" spans="1:11" x14ac:dyDescent="0.35">
      <c r="A5" s="110" t="s">
        <v>198</v>
      </c>
      <c r="B5" s="30">
        <f>'Ann 5'!C18</f>
        <v>940000.00000000023</v>
      </c>
      <c r="C5" s="30">
        <v>0</v>
      </c>
      <c r="D5" s="30">
        <v>0</v>
      </c>
      <c r="E5" s="30">
        <v>0</v>
      </c>
      <c r="F5" s="30">
        <v>0</v>
      </c>
      <c r="G5" s="30">
        <v>0</v>
      </c>
      <c r="H5" s="30">
        <v>0</v>
      </c>
      <c r="I5" s="30">
        <v>0</v>
      </c>
      <c r="J5" s="30">
        <v>0</v>
      </c>
      <c r="K5" s="30">
        <v>0</v>
      </c>
    </row>
    <row r="6" spans="1:11" x14ac:dyDescent="0.35">
      <c r="A6" s="110" t="s">
        <v>199</v>
      </c>
      <c r="B6" s="30">
        <f>'Ann 2'!C6*100000</f>
        <v>6237000</v>
      </c>
      <c r="C6" s="30">
        <v>0</v>
      </c>
      <c r="D6" s="30">
        <v>0</v>
      </c>
      <c r="E6" s="30">
        <v>0</v>
      </c>
      <c r="F6" s="30">
        <v>0</v>
      </c>
      <c r="G6" s="30">
        <v>0</v>
      </c>
      <c r="H6" s="30">
        <v>0</v>
      </c>
      <c r="I6" s="30">
        <v>0</v>
      </c>
      <c r="J6" s="30">
        <v>0</v>
      </c>
      <c r="K6" s="30">
        <v>0</v>
      </c>
    </row>
    <row r="7" spans="1:11" x14ac:dyDescent="0.35">
      <c r="A7" s="110" t="s">
        <v>200</v>
      </c>
      <c r="B7" s="30">
        <f>'Ann 9'!F9*100000</f>
        <v>6227000</v>
      </c>
      <c r="C7" s="30">
        <v>0</v>
      </c>
      <c r="D7" s="30">
        <v>0</v>
      </c>
      <c r="E7" s="30">
        <v>0</v>
      </c>
      <c r="F7" s="30">
        <v>0</v>
      </c>
      <c r="G7" s="30">
        <v>0</v>
      </c>
      <c r="H7" s="30">
        <v>0</v>
      </c>
      <c r="I7" s="30">
        <v>0</v>
      </c>
      <c r="J7" s="30">
        <v>0</v>
      </c>
      <c r="K7" s="30">
        <v>0</v>
      </c>
    </row>
    <row r="8" spans="1:11" x14ac:dyDescent="0.35">
      <c r="A8" s="110" t="s">
        <v>283</v>
      </c>
      <c r="B8" s="30">
        <f>'Ann 1'!C8*100000</f>
        <v>750000</v>
      </c>
      <c r="C8" s="30"/>
      <c r="D8" s="30"/>
      <c r="E8" s="30"/>
      <c r="F8" s="30"/>
      <c r="G8" s="30"/>
      <c r="H8" s="30"/>
      <c r="I8" s="30"/>
      <c r="J8" s="30"/>
      <c r="K8" s="30"/>
    </row>
    <row r="9" spans="1:11" x14ac:dyDescent="0.35">
      <c r="A9" s="110" t="s">
        <v>160</v>
      </c>
      <c r="B9" s="30"/>
      <c r="C9" s="30">
        <f>'Ann 4'!C21-'Ann 5'!C12</f>
        <v>35670250</v>
      </c>
      <c r="D9" s="30">
        <f>'Ann 4'!D21-'Ann 5'!D12</f>
        <v>39785625</v>
      </c>
      <c r="E9" s="30">
        <f>'Ann 4'!E21-'Ann 5'!E12</f>
        <v>42438000</v>
      </c>
      <c r="F9" s="30">
        <f>'Ann 4'!F21-'Ann 5'!F12</f>
        <v>45090375</v>
      </c>
      <c r="G9" s="30">
        <f>'Ann 4'!G21-'Ann 5'!G12</f>
        <v>47742750</v>
      </c>
      <c r="H9" s="30">
        <f>'Ann 4'!H21-'Ann 5'!H12</f>
        <v>50395125</v>
      </c>
      <c r="I9" s="30">
        <f>'Ann 4'!I21-'Ann 5'!I12</f>
        <v>53047500</v>
      </c>
      <c r="J9" s="30">
        <f>'Ann 4'!J21-'Ann 5'!J12</f>
        <v>53047500</v>
      </c>
      <c r="K9" s="30">
        <f>'Ann 4'!K21-'Ann 5'!K12</f>
        <v>53047500</v>
      </c>
    </row>
    <row r="10" spans="1:11" x14ac:dyDescent="0.35">
      <c r="A10" s="110" t="s">
        <v>175</v>
      </c>
      <c r="B10" s="30">
        <v>0</v>
      </c>
      <c r="C10" s="30">
        <v>0</v>
      </c>
      <c r="D10" s="30">
        <f>'Ann 5'!C24</f>
        <v>3024275</v>
      </c>
      <c r="E10" s="30">
        <f>'Ann 5'!D24</f>
        <v>3254544.6428571427</v>
      </c>
      <c r="F10" s="30">
        <f>'Ann 5'!E24</f>
        <v>3471514.2857142859</v>
      </c>
      <c r="G10" s="30">
        <f>'Ann 5'!F24</f>
        <v>3688483.9285714286</v>
      </c>
      <c r="H10" s="30">
        <f>'Ann 5'!G24</f>
        <v>3905453.5714285718</v>
      </c>
      <c r="I10" s="30">
        <f>'Ann 5'!H24</f>
        <v>4122423.2142857146</v>
      </c>
      <c r="J10" s="30">
        <f>'Ann 5'!I24</f>
        <v>4339392.8571428573</v>
      </c>
      <c r="K10" s="30">
        <f>'Ann 5'!J24</f>
        <v>4339392.8571428573</v>
      </c>
    </row>
    <row r="11" spans="1:11" x14ac:dyDescent="0.35">
      <c r="A11" s="110" t="s">
        <v>176</v>
      </c>
      <c r="B11" s="30">
        <v>0</v>
      </c>
      <c r="C11" s="30">
        <v>0</v>
      </c>
      <c r="D11" s="30">
        <f>'Ann 5'!C12</f>
        <v>3242750</v>
      </c>
      <c r="E11" s="30">
        <f>'Ann 5'!D12</f>
        <v>3616875</v>
      </c>
      <c r="F11" s="30">
        <f>'Ann 5'!E12</f>
        <v>3858000</v>
      </c>
      <c r="G11" s="30">
        <f>'Ann 5'!F12</f>
        <v>4099125</v>
      </c>
      <c r="H11" s="30">
        <f>'Ann 5'!G12</f>
        <v>4340250</v>
      </c>
      <c r="I11" s="30">
        <f>'Ann 5'!H12</f>
        <v>4581375</v>
      </c>
      <c r="J11" s="30">
        <f>'Ann 5'!I12</f>
        <v>4822500</v>
      </c>
      <c r="K11" s="30">
        <f>'Ann 5'!J12</f>
        <v>4822500</v>
      </c>
    </row>
    <row r="12" spans="1:11" x14ac:dyDescent="0.35">
      <c r="A12" s="110" t="s">
        <v>177</v>
      </c>
      <c r="B12" s="30">
        <v>0</v>
      </c>
      <c r="C12" s="30">
        <f>'Ann 4'!C11+'Ann 4'!C18-'Ann 5'!C24</f>
        <v>35537335</v>
      </c>
      <c r="D12" s="30">
        <f>'Ann 4'!D11+'Ann 4'!D18-'Ann 5'!D24</f>
        <v>38168816.571428575</v>
      </c>
      <c r="E12" s="30">
        <f>'Ann 4'!E11+'Ann 4'!E18-'Ann 5'!E24</f>
        <v>40658923.917857148</v>
      </c>
      <c r="F12" s="30">
        <f>'Ann 4'!F11+'Ann 4'!F18-'Ann 5'!F24</f>
        <v>43154203.328035727</v>
      </c>
      <c r="G12" s="30">
        <f>'Ann 4'!G11+'Ann 4'!G18-'Ann 5'!G24</f>
        <v>45654913.405151792</v>
      </c>
      <c r="H12" s="30">
        <f>'Ann 4'!H11+'Ann 4'!H18-'Ann 5'!H24</f>
        <v>48161325.682552233</v>
      </c>
      <c r="I12" s="30">
        <f>'Ann 4'!I11+'Ann 4'!I18-'Ann 5'!I24</f>
        <v>50673725.270251267</v>
      </c>
      <c r="J12" s="30">
        <f>'Ann 4'!J11+'Ann 4'!J18-'Ann 5'!J24</f>
        <v>50772243.071319632</v>
      </c>
      <c r="K12" s="30">
        <f>'Ann 4'!K11+'Ann 4'!K18-'Ann 5'!K24</f>
        <v>50875686.762441427</v>
      </c>
    </row>
    <row r="13" spans="1:11" x14ac:dyDescent="0.35">
      <c r="A13" s="110" t="s">
        <v>244</v>
      </c>
      <c r="B13" s="30">
        <f>'Ann 4'!C30</f>
        <v>200000</v>
      </c>
      <c r="C13" s="30">
        <v>0</v>
      </c>
      <c r="D13" s="30">
        <v>0</v>
      </c>
      <c r="E13" s="30">
        <v>0</v>
      </c>
      <c r="F13" s="30">
        <v>0</v>
      </c>
      <c r="G13" s="30">
        <v>0</v>
      </c>
      <c r="H13" s="30">
        <v>0</v>
      </c>
      <c r="I13" s="30">
        <v>0</v>
      </c>
      <c r="J13" s="30">
        <v>0</v>
      </c>
      <c r="K13" s="30">
        <v>0</v>
      </c>
    </row>
    <row r="14" spans="1:11" x14ac:dyDescent="0.35">
      <c r="A14" s="110" t="s">
        <v>161</v>
      </c>
      <c r="B14" s="30">
        <v>0</v>
      </c>
      <c r="C14" s="30">
        <f>'Ann 4'!C27</f>
        <v>592923</v>
      </c>
      <c r="D14" s="30">
        <f>'Ann 4'!D27</f>
        <v>546162</v>
      </c>
      <c r="E14" s="30">
        <f>'Ann 4'!E27</f>
        <v>488609.99999999994</v>
      </c>
      <c r="F14" s="30">
        <f>'Ann 4'!F27</f>
        <v>431057.99999999977</v>
      </c>
      <c r="G14" s="30">
        <f>'Ann 4'!G27</f>
        <v>373505.99999999977</v>
      </c>
      <c r="H14" s="30">
        <f>'Ann 4'!H27</f>
        <v>315953.99999999977</v>
      </c>
      <c r="I14" s="30">
        <f>'Ann 4'!I27</f>
        <v>258401.99999999983</v>
      </c>
      <c r="J14" s="30">
        <f>'Ann 4'!J27</f>
        <v>222300</v>
      </c>
      <c r="K14" s="30">
        <f>'Ann 4'!K27</f>
        <v>222300</v>
      </c>
    </row>
    <row r="15" spans="1:11" x14ac:dyDescent="0.35">
      <c r="A15" s="110"/>
      <c r="B15" s="30">
        <f>B4+B5+B6-B7-B8-B13</f>
        <v>2223000</v>
      </c>
      <c r="C15" s="30">
        <f>C4+C9-C10+C11-C12-C14+C5+C6-C7</f>
        <v>1762992</v>
      </c>
      <c r="D15" s="30">
        <f>D4+D9-D10+D11-D12-D14+D5+D6-D7</f>
        <v>2777115.8285714239</v>
      </c>
      <c r="E15" s="30">
        <f>E4+E9-E10+E11-E12-E14+E5+E6-E7</f>
        <v>2830557.2571428493</v>
      </c>
      <c r="F15" s="30">
        <f t="shared" ref="F15:K15" si="1">F4+F9-F10+F11-F12-F14+F5+F6-F7</f>
        <v>2923483.2127142698</v>
      </c>
      <c r="G15" s="30">
        <f t="shared" si="1"/>
        <v>3059265.9808856994</v>
      </c>
      <c r="H15" s="30">
        <f t="shared" si="1"/>
        <v>3240390.0085746273</v>
      </c>
      <c r="I15" s="30">
        <f t="shared" si="1"/>
        <v>3931390.3533038124</v>
      </c>
      <c r="J15" s="30">
        <f t="shared" si="1"/>
        <v>4438919.6538865492</v>
      </c>
      <c r="K15" s="30">
        <f t="shared" si="1"/>
        <v>5817300.5102729946</v>
      </c>
    </row>
    <row r="16" spans="1:11" x14ac:dyDescent="0.35">
      <c r="A16" s="110" t="s">
        <v>179</v>
      </c>
      <c r="B16" s="30">
        <v>0</v>
      </c>
      <c r="C16" s="30">
        <f>'Ann 4'!C33</f>
        <v>-204602.4</v>
      </c>
      <c r="D16" s="30">
        <f>'Ann 4'!D33</f>
        <v>331114.66071428504</v>
      </c>
      <c r="E16" s="30">
        <f>'Ann 4'!E33</f>
        <v>434210.39517857059</v>
      </c>
      <c r="F16" s="30">
        <f>'Ann 4'!F33</f>
        <v>532752.87833035423</v>
      </c>
      <c r="G16" s="30">
        <f>'Ann 4'!G33</f>
        <v>627060.88879151503</v>
      </c>
      <c r="H16" s="30">
        <f>'Ann 4'!H33</f>
        <v>477995.26072439633</v>
      </c>
      <c r="I16" s="30">
        <f>'Ann 4'!I33</f>
        <v>551966.26083867659</v>
      </c>
      <c r="J16" s="30">
        <f>'Ann 4'!J33</f>
        <v>545296.30553237977</v>
      </c>
      <c r="K16" s="30">
        <f>'Ann 4'!K33</f>
        <v>524827.9524706474</v>
      </c>
    </row>
    <row r="17" spans="1:12" x14ac:dyDescent="0.35">
      <c r="A17" s="110"/>
      <c r="B17" s="30">
        <v>0</v>
      </c>
      <c r="C17" s="30">
        <f>C15-C16</f>
        <v>1967594.4</v>
      </c>
      <c r="D17" s="30">
        <f t="shared" ref="D17:K17" si="2">D15-D16</f>
        <v>2446001.1678571389</v>
      </c>
      <c r="E17" s="30">
        <f t="shared" si="2"/>
        <v>2396346.8619642789</v>
      </c>
      <c r="F17" s="30">
        <f t="shared" si="2"/>
        <v>2390730.3343839156</v>
      </c>
      <c r="G17" s="30">
        <f t="shared" si="2"/>
        <v>2432205.0920941844</v>
      </c>
      <c r="H17" s="30">
        <f t="shared" si="2"/>
        <v>2762394.7478502309</v>
      </c>
      <c r="I17" s="30">
        <f t="shared" si="2"/>
        <v>3379424.0924651357</v>
      </c>
      <c r="J17" s="30">
        <f t="shared" si="2"/>
        <v>3893623.3483541692</v>
      </c>
      <c r="K17" s="30">
        <f t="shared" si="2"/>
        <v>5292472.5578023475</v>
      </c>
    </row>
    <row r="18" spans="1:12" x14ac:dyDescent="0.35">
      <c r="A18" s="110" t="s">
        <v>178</v>
      </c>
      <c r="B18" s="30">
        <v>0</v>
      </c>
      <c r="C18" s="30">
        <f>'Ann 4'!C35</f>
        <v>0</v>
      </c>
      <c r="D18" s="30">
        <f>'Ann 4'!D35</f>
        <v>309040.34999999945</v>
      </c>
      <c r="E18" s="30">
        <f>'Ann 4'!E35</f>
        <v>405263.03549999924</v>
      </c>
      <c r="F18" s="30">
        <f>'Ann 4'!F35</f>
        <v>497236.01977499743</v>
      </c>
      <c r="G18" s="30">
        <f>'Ann 4'!G35</f>
        <v>585256.82953874744</v>
      </c>
      <c r="H18" s="30">
        <f>'Ann 4'!H35</f>
        <v>446128.91000943672</v>
      </c>
      <c r="I18" s="30">
        <f>'Ann 4'!I35</f>
        <v>515168.5101160981</v>
      </c>
      <c r="J18" s="30">
        <f>'Ann 4'!J35</f>
        <v>508943.21849688789</v>
      </c>
      <c r="K18" s="30">
        <f>'Ann 4'!K35</f>
        <v>489839.42230593768</v>
      </c>
    </row>
    <row r="19" spans="1:12" x14ac:dyDescent="0.35">
      <c r="A19" s="110"/>
      <c r="B19" s="30">
        <v>0</v>
      </c>
      <c r="C19" s="30">
        <f>C17-C18</f>
        <v>1967594.4</v>
      </c>
      <c r="D19" s="30">
        <f t="shared" ref="D19:K19" si="3">D17-D18</f>
        <v>2136960.8178571393</v>
      </c>
      <c r="E19" s="30">
        <f t="shared" si="3"/>
        <v>1991083.8264642796</v>
      </c>
      <c r="F19" s="30">
        <f t="shared" si="3"/>
        <v>1893494.3146089183</v>
      </c>
      <c r="G19" s="30">
        <f t="shared" si="3"/>
        <v>1846948.2625554369</v>
      </c>
      <c r="H19" s="30">
        <f t="shared" si="3"/>
        <v>2316265.8378407941</v>
      </c>
      <c r="I19" s="30">
        <f t="shared" si="3"/>
        <v>2864255.5823490378</v>
      </c>
      <c r="J19" s="30">
        <f t="shared" si="3"/>
        <v>3384680.1298572812</v>
      </c>
      <c r="K19" s="30">
        <f t="shared" si="3"/>
        <v>4802633.1354964096</v>
      </c>
    </row>
    <row r="20" spans="1:12" x14ac:dyDescent="0.35">
      <c r="A20" s="110" t="s">
        <v>180</v>
      </c>
      <c r="B20" s="30">
        <v>0</v>
      </c>
      <c r="C20" s="30">
        <f>SUM('Ann 13'!D9:D12)*100000</f>
        <v>479600</v>
      </c>
      <c r="D20" s="30">
        <f>SUM('Ann 13'!D13:D16)*100000</f>
        <v>959200</v>
      </c>
      <c r="E20" s="30">
        <f>SUM('Ann 13'!D17:D20)*100000</f>
        <v>959200</v>
      </c>
      <c r="F20" s="30">
        <f>SUM('Ann 13'!D21:D24)*100000</f>
        <v>959200</v>
      </c>
      <c r="G20" s="30">
        <f>SUM('Ann 13'!D25:D28)*100000</f>
        <v>959200</v>
      </c>
      <c r="H20" s="30">
        <f>SUM('Ann 13'!D29:D32)*100000</f>
        <v>959200</v>
      </c>
      <c r="I20" s="30">
        <f>SUM('Ann 13'!D33:D36)*100000</f>
        <v>961399.99999999674</v>
      </c>
      <c r="J20" s="30">
        <v>0</v>
      </c>
      <c r="K20" s="30">
        <v>0</v>
      </c>
    </row>
    <row r="21" spans="1:12" x14ac:dyDescent="0.35">
      <c r="A21" s="110" t="s">
        <v>181</v>
      </c>
      <c r="B21" s="30">
        <f>B4+B5+B6-B7-B13-B8</f>
        <v>2223000</v>
      </c>
      <c r="C21" s="30">
        <f>C19-C20</f>
        <v>1487994.4</v>
      </c>
      <c r="D21" s="30">
        <f>D19-D20</f>
        <v>1177760.8178571393</v>
      </c>
      <c r="E21" s="30">
        <f>E19-E20</f>
        <v>1031883.8264642796</v>
      </c>
      <c r="F21" s="30">
        <f t="shared" ref="F21:K21" si="4">F19-F20</f>
        <v>934294.31460891827</v>
      </c>
      <c r="G21" s="30">
        <f t="shared" si="4"/>
        <v>887748.26255543693</v>
      </c>
      <c r="H21" s="30">
        <f t="shared" si="4"/>
        <v>1357065.8378407941</v>
      </c>
      <c r="I21" s="30">
        <f t="shared" si="4"/>
        <v>1902855.582349041</v>
      </c>
      <c r="J21" s="30">
        <f t="shared" si="4"/>
        <v>3384680.1298572812</v>
      </c>
      <c r="K21" s="30">
        <f t="shared" si="4"/>
        <v>4802633.1354964096</v>
      </c>
    </row>
    <row r="22" spans="1:12" x14ac:dyDescent="0.35">
      <c r="B22" s="111"/>
    </row>
    <row r="23" spans="1:12" x14ac:dyDescent="0.35">
      <c r="A23" s="96" t="s">
        <v>182</v>
      </c>
      <c r="B23" s="97">
        <v>0.06</v>
      </c>
      <c r="C23" s="98"/>
      <c r="D23" s="96"/>
      <c r="E23" s="96"/>
      <c r="F23" s="96"/>
      <c r="G23" s="96"/>
      <c r="H23" s="96"/>
      <c r="I23" s="96"/>
      <c r="J23" s="96"/>
      <c r="K23" s="96"/>
      <c r="L23" s="96"/>
    </row>
    <row r="24" spans="1:12" x14ac:dyDescent="0.35">
      <c r="A24" s="96" t="s">
        <v>183</v>
      </c>
      <c r="B24" s="96">
        <v>1</v>
      </c>
      <c r="C24" s="99">
        <f>1/(1+$B$23)</f>
        <v>0.94339622641509424</v>
      </c>
      <c r="D24" s="99">
        <f>1/((1+$B$23)*(1+$B$23))</f>
        <v>0.88999644001423983</v>
      </c>
      <c r="E24" s="99">
        <f>1/((1+$B$23)*(1+$B$23)*(1+$B$23))</f>
        <v>0.8396192830323016</v>
      </c>
      <c r="F24" s="99">
        <f>1/((1+$B$23)*(1+$B$23)*(1+$B$23)*(1+$B$23))</f>
        <v>0.79209366323802044</v>
      </c>
      <c r="G24" s="99">
        <f>1/((1+$B$23)*(1+$B$23)*(1+$B$23)*(1+$B$23)*(1+$B$23))</f>
        <v>0.74725817286605689</v>
      </c>
      <c r="H24" s="99">
        <f>1/((1+$B$23)*(1+$B$23)*(1+$B$23)*(1+$B$23)*(1+$B$23)*(1+$B$23))</f>
        <v>0.70496054043967626</v>
      </c>
      <c r="I24" s="99">
        <f>1/((1+$B$23)*(1+$B$23)*(1+$B$23)*(1+$B$23)*(1+$B$23)*(1+$B$23)*(1+$B$23))</f>
        <v>0.6650571136223361</v>
      </c>
      <c r="J24" s="99">
        <f>1/((1+$B$23)*(1+$B$23)*(1+$B$23)*(1+$B$23)*(1+$B$23)*(1+$B$23)*(1+$B$23)*(1+$B$23))</f>
        <v>0.62741237134182648</v>
      </c>
      <c r="K24" s="99">
        <f>1/((1+$B$23)*(1+$B$23)*(1+$B$23)*(1+$B$23)*(1+$B$23)*(1+$B$23)*(1+$B$23)*(1+$B$23)*(1+$B$23))</f>
        <v>0.59189846353002495</v>
      </c>
      <c r="L24" s="96"/>
    </row>
    <row r="25" spans="1:12" x14ac:dyDescent="0.35">
      <c r="A25" s="96" t="s">
        <v>184</v>
      </c>
      <c r="B25" s="96">
        <f>B4+B9+B11+B5+B6</f>
        <v>9400000</v>
      </c>
      <c r="C25" s="96">
        <f>C4+C9+C11+C5+C6</f>
        <v>37893250</v>
      </c>
      <c r="D25" s="96">
        <f t="shared" ref="D25:K25" si="5">D4+D9+D11</f>
        <v>44516369.399999999</v>
      </c>
      <c r="E25" s="96">
        <f t="shared" si="5"/>
        <v>47232635.817857139</v>
      </c>
      <c r="F25" s="96">
        <f t="shared" si="5"/>
        <v>49980258.82646428</v>
      </c>
      <c r="G25" s="96">
        <f t="shared" si="5"/>
        <v>52776169.314608917</v>
      </c>
      <c r="H25" s="96">
        <f t="shared" si="5"/>
        <v>55623123.262555435</v>
      </c>
      <c r="I25" s="96">
        <f t="shared" si="5"/>
        <v>58985940.837840796</v>
      </c>
      <c r="J25" s="96">
        <f t="shared" si="5"/>
        <v>59772855.58234904</v>
      </c>
      <c r="K25" s="96">
        <f t="shared" si="5"/>
        <v>61254680.129857279</v>
      </c>
      <c r="L25" s="96"/>
    </row>
    <row r="26" spans="1:12" x14ac:dyDescent="0.35">
      <c r="A26" s="96" t="s">
        <v>185</v>
      </c>
      <c r="B26" s="96">
        <f>B25*B24</f>
        <v>9400000</v>
      </c>
      <c r="C26" s="96">
        <f>C25*C24</f>
        <v>35748349.056603767</v>
      </c>
      <c r="D26" s="96">
        <f t="shared" ref="D26:K26" si="6">D25*D24</f>
        <v>39619410.288358837</v>
      </c>
      <c r="E26" s="96">
        <f t="shared" si="6"/>
        <v>39657431.821115017</v>
      </c>
      <c r="F26" s="96">
        <f t="shared" si="6"/>
        <v>39589046.3034385</v>
      </c>
      <c r="G26" s="96">
        <f t="shared" si="6"/>
        <v>39437423.85290432</v>
      </c>
      <c r="H26" s="96">
        <f t="shared" si="6"/>
        <v>39212107.036113806</v>
      </c>
      <c r="I26" s="96">
        <f t="shared" si="6"/>
        <v>39229019.557912283</v>
      </c>
      <c r="J26" s="96">
        <f t="shared" si="6"/>
        <v>37502229.062794141</v>
      </c>
      <c r="K26" s="96">
        <f t="shared" si="6"/>
        <v>36256551.052885674</v>
      </c>
      <c r="L26" s="96"/>
    </row>
    <row r="27" spans="1:12" x14ac:dyDescent="0.35">
      <c r="A27" s="96" t="s">
        <v>186</v>
      </c>
      <c r="B27" s="96">
        <f>B10+B12+B14+B16+B18+B20+B7+B13+B8</f>
        <v>7177000</v>
      </c>
      <c r="C27" s="96">
        <f t="shared" ref="C27:K27" si="7">C10+C12+C14+C16+C18+C20+C7+C13</f>
        <v>36405255.600000001</v>
      </c>
      <c r="D27" s="96">
        <f t="shared" si="7"/>
        <v>43338608.58214286</v>
      </c>
      <c r="E27" s="96">
        <f t="shared" si="7"/>
        <v>46200751.991392858</v>
      </c>
      <c r="F27" s="96">
        <f t="shared" si="7"/>
        <v>49045964.511855364</v>
      </c>
      <c r="G27" s="96">
        <f t="shared" si="7"/>
        <v>51888421.052053481</v>
      </c>
      <c r="H27" s="96">
        <f t="shared" si="7"/>
        <v>54266057.42471464</v>
      </c>
      <c r="I27" s="96">
        <f t="shared" si="7"/>
        <v>57083085.255491763</v>
      </c>
      <c r="J27" s="96">
        <f t="shared" si="7"/>
        <v>56388175.45249176</v>
      </c>
      <c r="K27" s="96">
        <f t="shared" si="7"/>
        <v>56452046.994360864</v>
      </c>
      <c r="L27" s="96"/>
    </row>
    <row r="28" spans="1:12" x14ac:dyDescent="0.35">
      <c r="A28" s="96" t="s">
        <v>187</v>
      </c>
      <c r="B28" s="96">
        <f>B27*B24</f>
        <v>7177000</v>
      </c>
      <c r="C28" s="96">
        <f>C27*C24</f>
        <v>34344580.754716977</v>
      </c>
      <c r="D28" s="96">
        <f t="shared" ref="D28:K28" si="8">D27*D24</f>
        <v>38571207.353277728</v>
      </c>
      <c r="E28" s="96">
        <f t="shared" si="8"/>
        <v>38791042.262566455</v>
      </c>
      <c r="F28" s="96">
        <f t="shared" si="8"/>
        <v>38848997.697237462</v>
      </c>
      <c r="G28" s="96">
        <f t="shared" si="8"/>
        <v>38774046.708262123</v>
      </c>
      <c r="H28" s="96">
        <f t="shared" si="8"/>
        <v>38255429.169657342</v>
      </c>
      <c r="I28" s="96">
        <f t="shared" si="8"/>
        <v>37963511.916675083</v>
      </c>
      <c r="J28" s="96">
        <f t="shared" si="8"/>
        <v>35378638.876286827</v>
      </c>
      <c r="K28" s="96">
        <f t="shared" si="8"/>
        <v>33413879.87908696</v>
      </c>
      <c r="L28" s="96"/>
    </row>
    <row r="29" spans="1:12" x14ac:dyDescent="0.35">
      <c r="A29" s="96"/>
      <c r="B29" s="96"/>
      <c r="C29" s="96"/>
      <c r="D29" s="96"/>
      <c r="E29" s="96"/>
      <c r="F29" s="96"/>
      <c r="G29" s="96"/>
      <c r="H29" s="96"/>
      <c r="I29" s="96"/>
      <c r="J29" s="96"/>
      <c r="K29" s="96"/>
      <c r="L29" s="96"/>
    </row>
    <row r="30" spans="1:12" x14ac:dyDescent="0.35">
      <c r="A30" s="96" t="s">
        <v>188</v>
      </c>
      <c r="B30" s="96">
        <f>B25-B27</f>
        <v>2223000</v>
      </c>
      <c r="C30" s="96">
        <f>C25-C27</f>
        <v>1487994.3999999985</v>
      </c>
      <c r="D30" s="96">
        <f>D25-D27</f>
        <v>1177760.8178571388</v>
      </c>
      <c r="E30" s="96">
        <f t="shared" ref="E30:K30" si="9">E25-E27</f>
        <v>1031883.8264642805</v>
      </c>
      <c r="F30" s="96">
        <f t="shared" si="9"/>
        <v>934294.31460891664</v>
      </c>
      <c r="G30" s="96">
        <f t="shared" si="9"/>
        <v>887748.2625554353</v>
      </c>
      <c r="H30" s="96">
        <f t="shared" si="9"/>
        <v>1357065.8378407955</v>
      </c>
      <c r="I30" s="96">
        <f t="shared" si="9"/>
        <v>1902855.5823490322</v>
      </c>
      <c r="J30" s="96">
        <f t="shared" si="9"/>
        <v>3384680.1298572794</v>
      </c>
      <c r="K30" s="96">
        <f t="shared" si="9"/>
        <v>4802633.1354964152</v>
      </c>
      <c r="L30" s="96"/>
    </row>
    <row r="31" spans="1:12" x14ac:dyDescent="0.35">
      <c r="A31" s="96" t="s">
        <v>189</v>
      </c>
      <c r="B31" s="96">
        <f>B26-B28</f>
        <v>2223000</v>
      </c>
      <c r="C31" s="96">
        <f>C30*C24</f>
        <v>1403768.3018867909</v>
      </c>
      <c r="D31" s="96">
        <f t="shared" ref="D31:K31" si="10">D30*D24</f>
        <v>1048202.9350811131</v>
      </c>
      <c r="E31" s="96">
        <f t="shared" si="10"/>
        <v>866389.55854856712</v>
      </c>
      <c r="F31" s="96">
        <f t="shared" si="10"/>
        <v>740048.60620103229</v>
      </c>
      <c r="G31" s="96">
        <f t="shared" si="10"/>
        <v>663377.14464219112</v>
      </c>
      <c r="H31" s="96">
        <f t="shared" si="10"/>
        <v>956677.86645646929</v>
      </c>
      <c r="I31" s="96">
        <f t="shared" si="10"/>
        <v>1265507.6412371967</v>
      </c>
      <c r="J31" s="96">
        <f t="shared" si="10"/>
        <v>2123590.1865073168</v>
      </c>
      <c r="K31" s="96">
        <f t="shared" si="10"/>
        <v>2842671.1737987143</v>
      </c>
      <c r="L31" s="96">
        <f>SUM(C31:K31)</f>
        <v>11910233.414359391</v>
      </c>
    </row>
    <row r="32" spans="1:12" x14ac:dyDescent="0.35">
      <c r="C32" s="111"/>
      <c r="D32" s="111"/>
      <c r="E32" s="111"/>
      <c r="F32" s="111"/>
      <c r="G32" s="111"/>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4"/>
  <sheetViews>
    <sheetView topLeftCell="A3" workbookViewId="0">
      <selection activeCell="B20" sqref="B20"/>
    </sheetView>
  </sheetViews>
  <sheetFormatPr defaultRowHeight="14.5" x14ac:dyDescent="0.35"/>
  <cols>
    <col min="2" max="2" width="61.81640625" bestFit="1" customWidth="1"/>
    <col min="3" max="11" width="16.08984375" bestFit="1" customWidth="1"/>
    <col min="12" max="12" width="12.54296875" bestFit="1" customWidth="1"/>
  </cols>
  <sheetData>
    <row r="1" spans="1:11" x14ac:dyDescent="0.35">
      <c r="B1" s="22" t="s">
        <v>165</v>
      </c>
    </row>
    <row r="2" spans="1:11" x14ac:dyDescent="0.35">
      <c r="A2" s="122" t="s">
        <v>52</v>
      </c>
      <c r="B2" s="122" t="s">
        <v>3</v>
      </c>
      <c r="C2" s="117" t="s">
        <v>48</v>
      </c>
      <c r="D2" s="117"/>
      <c r="E2" s="117"/>
      <c r="F2" s="117"/>
      <c r="G2" s="117"/>
      <c r="H2" s="117"/>
      <c r="I2" s="117"/>
      <c r="J2" s="117"/>
      <c r="K2" s="117"/>
    </row>
    <row r="3" spans="1:11" x14ac:dyDescent="0.35">
      <c r="A3" s="122"/>
      <c r="B3" s="122"/>
      <c r="C3" s="113" t="s">
        <v>39</v>
      </c>
      <c r="D3" s="113" t="s">
        <v>40</v>
      </c>
      <c r="E3" s="113" t="s">
        <v>41</v>
      </c>
      <c r="F3" s="113" t="s">
        <v>42</v>
      </c>
      <c r="G3" s="113" t="s">
        <v>43</v>
      </c>
      <c r="H3" s="113" t="s">
        <v>44</v>
      </c>
      <c r="I3" s="113" t="s">
        <v>45</v>
      </c>
      <c r="J3" s="113" t="s">
        <v>46</v>
      </c>
      <c r="K3" s="113" t="s">
        <v>47</v>
      </c>
    </row>
    <row r="4" spans="1:11" x14ac:dyDescent="0.35">
      <c r="A4" s="12" t="s">
        <v>315</v>
      </c>
      <c r="B4" s="12" t="s">
        <v>243</v>
      </c>
      <c r="C4" s="104">
        <v>0.7</v>
      </c>
      <c r="D4" s="104">
        <v>0.75</v>
      </c>
      <c r="E4" s="104">
        <v>0.8</v>
      </c>
      <c r="F4" s="104">
        <v>0.85</v>
      </c>
      <c r="G4" s="104">
        <v>0.9</v>
      </c>
      <c r="H4" s="104">
        <v>0.95</v>
      </c>
      <c r="I4" s="104">
        <v>1</v>
      </c>
      <c r="J4" s="104">
        <v>1</v>
      </c>
      <c r="K4" s="104">
        <v>1</v>
      </c>
    </row>
    <row r="5" spans="1:11" x14ac:dyDescent="0.35">
      <c r="A5" s="12" t="s">
        <v>316</v>
      </c>
      <c r="B5" s="12" t="s">
        <v>324</v>
      </c>
      <c r="C5" s="106">
        <f>$C$17*C4</f>
        <v>1260000</v>
      </c>
      <c r="D5" s="106">
        <f t="shared" ref="D5:K5" si="0">$C$17*D4</f>
        <v>1350000</v>
      </c>
      <c r="E5" s="106">
        <f t="shared" si="0"/>
        <v>1440000</v>
      </c>
      <c r="F5" s="106">
        <f t="shared" si="0"/>
        <v>1530000</v>
      </c>
      <c r="G5" s="106">
        <f t="shared" si="0"/>
        <v>1620000</v>
      </c>
      <c r="H5" s="106">
        <f t="shared" si="0"/>
        <v>1710000</v>
      </c>
      <c r="I5" s="106">
        <f t="shared" si="0"/>
        <v>1800000</v>
      </c>
      <c r="J5" s="106">
        <f t="shared" si="0"/>
        <v>1800000</v>
      </c>
      <c r="K5" s="106">
        <f t="shared" si="0"/>
        <v>1800000</v>
      </c>
    </row>
    <row r="6" spans="1:11" x14ac:dyDescent="0.35">
      <c r="A6" s="12" t="s">
        <v>317</v>
      </c>
      <c r="B6" s="12" t="s">
        <v>325</v>
      </c>
      <c r="C6" s="106">
        <f>C5*2/3</f>
        <v>840000</v>
      </c>
      <c r="D6" s="106">
        <f t="shared" ref="D6:K6" si="1">D5*2/3</f>
        <v>900000</v>
      </c>
      <c r="E6" s="106">
        <f t="shared" si="1"/>
        <v>960000</v>
      </c>
      <c r="F6" s="106">
        <f t="shared" si="1"/>
        <v>1020000</v>
      </c>
      <c r="G6" s="106">
        <f t="shared" si="1"/>
        <v>1080000</v>
      </c>
      <c r="H6" s="106">
        <f t="shared" si="1"/>
        <v>1140000</v>
      </c>
      <c r="I6" s="106">
        <f t="shared" si="1"/>
        <v>1200000</v>
      </c>
      <c r="J6" s="106">
        <f t="shared" si="1"/>
        <v>1200000</v>
      </c>
      <c r="K6" s="106">
        <f t="shared" si="1"/>
        <v>1200000</v>
      </c>
    </row>
    <row r="7" spans="1:11" x14ac:dyDescent="0.35">
      <c r="A7" s="12" t="s">
        <v>318</v>
      </c>
      <c r="B7" s="12" t="s">
        <v>326</v>
      </c>
      <c r="C7" s="30">
        <f>C5-C6</f>
        <v>420000</v>
      </c>
      <c r="D7" s="30">
        <f t="shared" ref="D7:K7" si="2">D5-D6</f>
        <v>450000</v>
      </c>
      <c r="E7" s="30">
        <f t="shared" si="2"/>
        <v>480000</v>
      </c>
      <c r="F7" s="30">
        <f t="shared" si="2"/>
        <v>510000</v>
      </c>
      <c r="G7" s="30">
        <f t="shared" si="2"/>
        <v>540000</v>
      </c>
      <c r="H7" s="30">
        <f t="shared" si="2"/>
        <v>570000</v>
      </c>
      <c r="I7" s="30">
        <f t="shared" si="2"/>
        <v>600000</v>
      </c>
      <c r="J7" s="30">
        <f t="shared" si="2"/>
        <v>600000</v>
      </c>
      <c r="K7" s="30">
        <f t="shared" si="2"/>
        <v>600000</v>
      </c>
    </row>
    <row r="8" spans="1:11" x14ac:dyDescent="0.35">
      <c r="A8" s="12" t="s">
        <v>319</v>
      </c>
      <c r="B8" s="12" t="s">
        <v>327</v>
      </c>
      <c r="C8" s="30">
        <f>C6*$D$21</f>
        <v>31920000</v>
      </c>
      <c r="D8" s="30">
        <f>D6*$D$21*1.05</f>
        <v>35910000</v>
      </c>
      <c r="E8" s="30">
        <f t="shared" ref="E8:K8" si="3">E6*$D$21*1.05</f>
        <v>38304000</v>
      </c>
      <c r="F8" s="30">
        <f t="shared" si="3"/>
        <v>40698000</v>
      </c>
      <c r="G8" s="30">
        <f t="shared" si="3"/>
        <v>43092000</v>
      </c>
      <c r="H8" s="30">
        <f t="shared" si="3"/>
        <v>45486000</v>
      </c>
      <c r="I8" s="30">
        <f t="shared" si="3"/>
        <v>47880000</v>
      </c>
      <c r="J8" s="30">
        <f t="shared" si="3"/>
        <v>47880000</v>
      </c>
      <c r="K8" s="30">
        <f t="shared" si="3"/>
        <v>47880000</v>
      </c>
    </row>
    <row r="9" spans="1:11" x14ac:dyDescent="0.35">
      <c r="A9" s="12" t="s">
        <v>320</v>
      </c>
      <c r="B9" s="12" t="s">
        <v>328</v>
      </c>
      <c r="C9" s="30">
        <f>C7*$F$21</f>
        <v>63000</v>
      </c>
      <c r="D9" s="30">
        <f t="shared" ref="D9:K9" si="4">D7*$F$21</f>
        <v>67500</v>
      </c>
      <c r="E9" s="30">
        <f t="shared" si="4"/>
        <v>72000</v>
      </c>
      <c r="F9" s="30">
        <f t="shared" si="4"/>
        <v>76500</v>
      </c>
      <c r="G9" s="30">
        <f t="shared" si="4"/>
        <v>81000</v>
      </c>
      <c r="H9" s="30">
        <f t="shared" si="4"/>
        <v>85500</v>
      </c>
      <c r="I9" s="30">
        <f t="shared" si="4"/>
        <v>90000</v>
      </c>
      <c r="J9" s="30">
        <f t="shared" si="4"/>
        <v>90000</v>
      </c>
      <c r="K9" s="30">
        <f t="shared" si="4"/>
        <v>90000</v>
      </c>
    </row>
    <row r="10" spans="1:11" x14ac:dyDescent="0.35">
      <c r="A10" s="12" t="s">
        <v>321</v>
      </c>
      <c r="B10" s="12" t="s">
        <v>329</v>
      </c>
      <c r="C10" s="30">
        <f>C5/70%</f>
        <v>1800000</v>
      </c>
      <c r="D10" s="30">
        <f t="shared" ref="D10:K10" si="5">D5/70%</f>
        <v>1928571.4285714286</v>
      </c>
      <c r="E10" s="30">
        <f t="shared" si="5"/>
        <v>2057142.8571428573</v>
      </c>
      <c r="F10" s="30">
        <f t="shared" si="5"/>
        <v>2185714.2857142859</v>
      </c>
      <c r="G10" s="30">
        <f t="shared" si="5"/>
        <v>2314285.7142857146</v>
      </c>
      <c r="H10" s="30">
        <f t="shared" si="5"/>
        <v>2442857.1428571432</v>
      </c>
      <c r="I10" s="30">
        <f t="shared" si="5"/>
        <v>2571428.5714285714</v>
      </c>
      <c r="J10" s="30">
        <f t="shared" si="5"/>
        <v>2571428.5714285714</v>
      </c>
      <c r="K10" s="30">
        <f t="shared" si="5"/>
        <v>2571428.5714285714</v>
      </c>
    </row>
    <row r="11" spans="1:11" x14ac:dyDescent="0.35">
      <c r="A11" s="12" t="s">
        <v>322</v>
      </c>
      <c r="B11" s="12" t="s">
        <v>305</v>
      </c>
      <c r="C11" s="30">
        <f>10%*C5*10</f>
        <v>1260000</v>
      </c>
      <c r="D11" s="30">
        <f t="shared" ref="D11:K11" si="6">10%*D5*10</f>
        <v>1350000</v>
      </c>
      <c r="E11" s="30">
        <f t="shared" si="6"/>
        <v>1440000</v>
      </c>
      <c r="F11" s="30">
        <f t="shared" si="6"/>
        <v>1530000</v>
      </c>
      <c r="G11" s="30">
        <f t="shared" si="6"/>
        <v>1620000</v>
      </c>
      <c r="H11" s="30">
        <f t="shared" si="6"/>
        <v>1710000</v>
      </c>
      <c r="I11" s="30">
        <f t="shared" si="6"/>
        <v>1800000</v>
      </c>
      <c r="J11" s="30">
        <f t="shared" si="6"/>
        <v>1800000</v>
      </c>
      <c r="K11" s="30">
        <f t="shared" si="6"/>
        <v>1800000</v>
      </c>
    </row>
    <row r="12" spans="1:11" x14ac:dyDescent="0.35">
      <c r="A12" s="12" t="s">
        <v>323</v>
      </c>
      <c r="B12" s="12" t="s">
        <v>306</v>
      </c>
      <c r="C12" s="30">
        <f>15%*C5*30</f>
        <v>5670000</v>
      </c>
      <c r="D12" s="30">
        <f t="shared" ref="D12:K12" si="7">15%*D5*30</f>
        <v>6075000</v>
      </c>
      <c r="E12" s="30">
        <f t="shared" si="7"/>
        <v>6480000</v>
      </c>
      <c r="F12" s="30">
        <f t="shared" si="7"/>
        <v>6885000</v>
      </c>
      <c r="G12" s="30">
        <f t="shared" si="7"/>
        <v>7290000</v>
      </c>
      <c r="H12" s="30">
        <f t="shared" si="7"/>
        <v>7695000</v>
      </c>
      <c r="I12" s="30">
        <f t="shared" si="7"/>
        <v>8100000</v>
      </c>
      <c r="J12" s="30">
        <f t="shared" si="7"/>
        <v>8100000</v>
      </c>
      <c r="K12" s="30">
        <f t="shared" si="7"/>
        <v>8100000</v>
      </c>
    </row>
    <row r="13" spans="1:11" s="5" customFormat="1" x14ac:dyDescent="0.35">
      <c r="A13" s="12"/>
      <c r="B13" s="12" t="s">
        <v>288</v>
      </c>
      <c r="C13" s="30">
        <f>C9+C8+C11+C12</f>
        <v>38913000</v>
      </c>
      <c r="D13" s="30">
        <f t="shared" ref="D13:K13" si="8">D9+D8+D11+D12</f>
        <v>43402500</v>
      </c>
      <c r="E13" s="30">
        <f t="shared" si="8"/>
        <v>46296000</v>
      </c>
      <c r="F13" s="30">
        <f t="shared" si="8"/>
        <v>49189500</v>
      </c>
      <c r="G13" s="30">
        <f t="shared" si="8"/>
        <v>52083000</v>
      </c>
      <c r="H13" s="30">
        <f t="shared" si="8"/>
        <v>54976500</v>
      </c>
      <c r="I13" s="30">
        <f t="shared" si="8"/>
        <v>57870000</v>
      </c>
      <c r="J13" s="30">
        <f t="shared" si="8"/>
        <v>57870000</v>
      </c>
      <c r="K13" s="30">
        <f t="shared" si="8"/>
        <v>57870000</v>
      </c>
    </row>
    <row r="14" spans="1:11" x14ac:dyDescent="0.35">
      <c r="C14" s="2"/>
      <c r="D14" s="2"/>
      <c r="E14" s="2"/>
      <c r="F14" s="2"/>
      <c r="G14" s="2"/>
      <c r="H14" s="2"/>
      <c r="I14" s="2"/>
      <c r="J14" s="2"/>
      <c r="K14" s="2"/>
    </row>
    <row r="15" spans="1:11" x14ac:dyDescent="0.35">
      <c r="B15" s="22" t="s">
        <v>278</v>
      </c>
    </row>
    <row r="17" spans="2:11" x14ac:dyDescent="0.35">
      <c r="B17" t="s">
        <v>242</v>
      </c>
      <c r="C17" s="15">
        <f>0.5*1000*16*225</f>
        <v>1800000</v>
      </c>
      <c r="F17" s="103"/>
    </row>
    <row r="18" spans="2:11" x14ac:dyDescent="0.35">
      <c r="B18" t="s">
        <v>274</v>
      </c>
      <c r="C18" s="102" t="s">
        <v>273</v>
      </c>
    </row>
    <row r="20" spans="2:11" s="71" customFormat="1" ht="58" customHeight="1" x14ac:dyDescent="0.35">
      <c r="B20" s="69" t="s">
        <v>166</v>
      </c>
      <c r="C20" s="70" t="s">
        <v>167</v>
      </c>
      <c r="D20" s="70" t="s">
        <v>276</v>
      </c>
      <c r="E20" s="70" t="s">
        <v>275</v>
      </c>
      <c r="F20" s="70" t="s">
        <v>287</v>
      </c>
    </row>
    <row r="21" spans="2:11" s="71" customFormat="1" x14ac:dyDescent="0.35">
      <c r="B21" s="69" t="s">
        <v>168</v>
      </c>
      <c r="C21" s="72">
        <f>C17</f>
        <v>1800000</v>
      </c>
      <c r="D21" s="73">
        <v>38</v>
      </c>
      <c r="E21" s="73">
        <v>18</v>
      </c>
      <c r="F21" s="69">
        <v>0.15</v>
      </c>
    </row>
    <row r="23" spans="2:11" x14ac:dyDescent="0.35">
      <c r="B23" s="22" t="s">
        <v>277</v>
      </c>
      <c r="C23" s="120" t="s">
        <v>48</v>
      </c>
      <c r="D23" s="120"/>
      <c r="E23" s="120"/>
      <c r="F23" s="120"/>
      <c r="G23" s="120"/>
      <c r="H23" s="120"/>
      <c r="I23" s="120"/>
      <c r="J23" s="120"/>
      <c r="K23" s="120"/>
    </row>
    <row r="24" spans="2:11" x14ac:dyDescent="0.35">
      <c r="B24" s="12"/>
      <c r="C24" s="105" t="s">
        <v>39</v>
      </c>
      <c r="D24" s="105" t="s">
        <v>40</v>
      </c>
      <c r="E24" s="105" t="s">
        <v>41</v>
      </c>
      <c r="F24" s="105" t="s">
        <v>42</v>
      </c>
      <c r="G24" s="105" t="s">
        <v>43</v>
      </c>
      <c r="H24" s="105" t="s">
        <v>44</v>
      </c>
      <c r="I24" s="105" t="s">
        <v>45</v>
      </c>
      <c r="J24" s="105" t="s">
        <v>46</v>
      </c>
      <c r="K24" s="105" t="s">
        <v>47</v>
      </c>
    </row>
    <row r="25" spans="2:11" x14ac:dyDescent="0.35">
      <c r="B25" s="12" t="s">
        <v>279</v>
      </c>
      <c r="C25" s="54">
        <v>0</v>
      </c>
      <c r="D25" s="40">
        <f>C28</f>
        <v>8400</v>
      </c>
      <c r="E25" s="40">
        <f t="shared" ref="E25:K25" si="9">D28</f>
        <v>17400</v>
      </c>
      <c r="F25" s="40">
        <f t="shared" si="9"/>
        <v>27000</v>
      </c>
      <c r="G25" s="40">
        <f t="shared" si="9"/>
        <v>37200</v>
      </c>
      <c r="H25" s="40">
        <f t="shared" si="9"/>
        <v>48000</v>
      </c>
      <c r="I25" s="40">
        <f t="shared" si="9"/>
        <v>36600</v>
      </c>
      <c r="J25" s="40">
        <f t="shared" si="9"/>
        <v>24600</v>
      </c>
      <c r="K25" s="40">
        <f t="shared" si="9"/>
        <v>12600</v>
      </c>
    </row>
    <row r="26" spans="2:11" x14ac:dyDescent="0.35">
      <c r="B26" s="12" t="s">
        <v>280</v>
      </c>
      <c r="C26" s="40">
        <f>C6</f>
        <v>840000</v>
      </c>
      <c r="D26" s="40">
        <f t="shared" ref="D26:K26" si="10">D6</f>
        <v>900000</v>
      </c>
      <c r="E26" s="40">
        <f t="shared" si="10"/>
        <v>960000</v>
      </c>
      <c r="F26" s="40">
        <f t="shared" si="10"/>
        <v>1020000</v>
      </c>
      <c r="G26" s="40">
        <f t="shared" si="10"/>
        <v>1080000</v>
      </c>
      <c r="H26" s="40">
        <f t="shared" si="10"/>
        <v>1140000</v>
      </c>
      <c r="I26" s="40">
        <f t="shared" si="10"/>
        <v>1200000</v>
      </c>
      <c r="J26" s="40">
        <f t="shared" si="10"/>
        <v>1200000</v>
      </c>
      <c r="K26" s="40">
        <f t="shared" si="10"/>
        <v>1200000</v>
      </c>
    </row>
    <row r="27" spans="2:11" x14ac:dyDescent="0.35">
      <c r="B27" s="12" t="s">
        <v>50</v>
      </c>
      <c r="C27" s="40">
        <f>C6*99%</f>
        <v>831600</v>
      </c>
      <c r="D27" s="40">
        <f t="shared" ref="D27:G27" si="11">D6*99%</f>
        <v>891000</v>
      </c>
      <c r="E27" s="40">
        <f t="shared" si="11"/>
        <v>950400</v>
      </c>
      <c r="F27" s="40">
        <f t="shared" si="11"/>
        <v>1009800</v>
      </c>
      <c r="G27" s="40">
        <f t="shared" si="11"/>
        <v>1069200</v>
      </c>
      <c r="H27" s="40">
        <f>H6*101%</f>
        <v>1151400</v>
      </c>
      <c r="I27" s="40">
        <f t="shared" ref="I27:K27" si="12">I6*101%</f>
        <v>1212000</v>
      </c>
      <c r="J27" s="40">
        <f t="shared" si="12"/>
        <v>1212000</v>
      </c>
      <c r="K27" s="40">
        <f t="shared" si="12"/>
        <v>1212000</v>
      </c>
    </row>
    <row r="28" spans="2:11" x14ac:dyDescent="0.35">
      <c r="B28" s="12" t="s">
        <v>281</v>
      </c>
      <c r="C28" s="40">
        <f>C25+C26-C27</f>
        <v>8400</v>
      </c>
      <c r="D28" s="40">
        <f t="shared" ref="D28:K28" si="13">D25+D26-D27</f>
        <v>17400</v>
      </c>
      <c r="E28" s="40">
        <f t="shared" si="13"/>
        <v>27000</v>
      </c>
      <c r="F28" s="40">
        <f t="shared" si="13"/>
        <v>37200</v>
      </c>
      <c r="G28" s="40">
        <f t="shared" si="13"/>
        <v>48000</v>
      </c>
      <c r="H28" s="40">
        <f t="shared" si="13"/>
        <v>36600</v>
      </c>
      <c r="I28" s="40">
        <f t="shared" si="13"/>
        <v>24600</v>
      </c>
      <c r="J28" s="40">
        <f t="shared" si="13"/>
        <v>12600</v>
      </c>
      <c r="K28" s="40">
        <f t="shared" si="13"/>
        <v>600</v>
      </c>
    </row>
    <row r="30" spans="2:11" ht="28.5" customHeight="1" x14ac:dyDescent="0.35">
      <c r="B30" s="119" t="s">
        <v>285</v>
      </c>
      <c r="C30" s="119"/>
      <c r="D30" s="119"/>
      <c r="E30" s="119"/>
      <c r="F30" s="119"/>
      <c r="G30" s="119"/>
      <c r="H30" s="119"/>
      <c r="I30" s="119"/>
      <c r="J30" s="119"/>
      <c r="K30" s="119"/>
    </row>
    <row r="31" spans="2:11" ht="28.5" customHeight="1" x14ac:dyDescent="0.35">
      <c r="B31" s="119" t="s">
        <v>286</v>
      </c>
      <c r="C31" s="119"/>
      <c r="D31" s="119"/>
      <c r="E31" s="119"/>
      <c r="F31" s="119"/>
      <c r="G31" s="119"/>
      <c r="H31" s="119"/>
      <c r="I31" s="119"/>
      <c r="J31" s="119"/>
      <c r="K31" s="119"/>
    </row>
    <row r="32" spans="2:11" x14ac:dyDescent="0.35">
      <c r="B32" t="s">
        <v>298</v>
      </c>
    </row>
    <row r="33" spans="2:2" x14ac:dyDescent="0.35">
      <c r="B33" t="s">
        <v>303</v>
      </c>
    </row>
    <row r="34" spans="2:2" x14ac:dyDescent="0.35">
      <c r="B34" t="s">
        <v>307</v>
      </c>
    </row>
  </sheetData>
  <mergeCells count="6">
    <mergeCell ref="A2:A3"/>
    <mergeCell ref="C2:K2"/>
    <mergeCell ref="C23:K23"/>
    <mergeCell ref="B30:K30"/>
    <mergeCell ref="B31:K31"/>
    <mergeCell ref="B2:B3"/>
  </mergeCells>
  <pageMargins left="0.7" right="0.7" top="0.75" bottom="0.75" header="0.3" footer="0.3"/>
  <pageSetup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190</v>
      </c>
      <c r="B3" s="2">
        <f>'Ann 4'!C21/100000</f>
        <v>389.13</v>
      </c>
      <c r="C3" s="2">
        <f>'Ann 4'!D21/100000</f>
        <v>434.02499999999998</v>
      </c>
      <c r="D3" s="2">
        <f>'Ann 4'!E21/100000</f>
        <v>462.96</v>
      </c>
      <c r="E3" s="2">
        <f>'Ann 4'!F21/100000</f>
        <v>491.89499999999998</v>
      </c>
      <c r="F3" s="2">
        <f>'Ann 4'!G21/100000</f>
        <v>520.83000000000004</v>
      </c>
      <c r="G3" s="2">
        <f>'Ann 4'!H21/100000</f>
        <v>549.76499999999999</v>
      </c>
      <c r="H3" s="2">
        <f>'Ann 4'!I21/100000</f>
        <v>578.70000000000005</v>
      </c>
      <c r="I3" s="2">
        <f>'Ann 4'!J21/100000</f>
        <v>578.70000000000005</v>
      </c>
      <c r="J3" s="2">
        <f>'Ann 4'!K21/100000</f>
        <v>578.70000000000005</v>
      </c>
    </row>
    <row r="4" spans="1:10" x14ac:dyDescent="0.35">
      <c r="A4" t="s">
        <v>191</v>
      </c>
      <c r="B4" s="2">
        <f>'Ann 4'!C20/100000</f>
        <v>382.67610000000002</v>
      </c>
      <c r="C4" s="2">
        <f>'Ann 4'!D20/100000</f>
        <v>411.08361214285719</v>
      </c>
      <c r="D4" s="2">
        <f>'Ann 4'!E20/100000</f>
        <v>437.94438203571434</v>
      </c>
      <c r="E4" s="2">
        <f>'Ann 4'!F20/100000</f>
        <v>464.8568725660715</v>
      </c>
      <c r="F4" s="2">
        <f>'Ann 4'!G20/100000</f>
        <v>491.82366976580369</v>
      </c>
      <c r="G4" s="2">
        <f>'Ann 4'!H20/100000</f>
        <v>526.8274889683795</v>
      </c>
      <c r="H4" s="2">
        <f>'Ann 4'!I20/100000</f>
        <v>554.3311812739413</v>
      </c>
      <c r="I4" s="2">
        <f>'Ann 4'!J20/100000</f>
        <v>555.31635928462492</v>
      </c>
      <c r="J4" s="2">
        <f>'Ann 4'!K20/100000</f>
        <v>556.3507961958428</v>
      </c>
    </row>
    <row r="5" spans="1:10" x14ac:dyDescent="0.35">
      <c r="A5" t="s">
        <v>192</v>
      </c>
      <c r="B5" s="2">
        <f>B3-B4</f>
        <v>6.453899999999976</v>
      </c>
      <c r="C5" s="2">
        <f t="shared" ref="C5:J5" si="0">C3-C4</f>
        <v>22.941387857142786</v>
      </c>
      <c r="D5" s="2">
        <f t="shared" si="0"/>
        <v>25.015617964285639</v>
      </c>
      <c r="E5" s="2">
        <f t="shared" si="0"/>
        <v>27.03812743392848</v>
      </c>
      <c r="F5" s="2">
        <f t="shared" si="0"/>
        <v>29.006330234196355</v>
      </c>
      <c r="G5" s="2">
        <f t="shared" si="0"/>
        <v>22.937511031620488</v>
      </c>
      <c r="H5" s="2">
        <f t="shared" si="0"/>
        <v>24.368818726058748</v>
      </c>
      <c r="I5" s="2">
        <f t="shared" si="0"/>
        <v>23.383640715375122</v>
      </c>
      <c r="J5" s="2">
        <f t="shared" si="0"/>
        <v>22.349203804157241</v>
      </c>
    </row>
    <row r="6" spans="1:10" x14ac:dyDescent="0.35">
      <c r="A6" t="s">
        <v>193</v>
      </c>
      <c r="B6" s="2">
        <f>B5</f>
        <v>6.453899999999976</v>
      </c>
      <c r="C6" s="2">
        <f t="shared" ref="C6:J6" si="1">C5</f>
        <v>22.941387857142786</v>
      </c>
      <c r="D6" s="2">
        <f t="shared" si="1"/>
        <v>25.015617964285639</v>
      </c>
      <c r="E6" s="2">
        <f t="shared" si="1"/>
        <v>27.03812743392848</v>
      </c>
      <c r="F6" s="2">
        <f t="shared" si="1"/>
        <v>29.006330234196355</v>
      </c>
      <c r="G6" s="2">
        <f t="shared" si="1"/>
        <v>22.937511031620488</v>
      </c>
      <c r="H6" s="2">
        <f t="shared" si="1"/>
        <v>24.368818726058748</v>
      </c>
      <c r="I6" s="2">
        <f t="shared" si="1"/>
        <v>23.383640715375122</v>
      </c>
      <c r="J6" s="2">
        <f t="shared" si="1"/>
        <v>22.349203804157241</v>
      </c>
    </row>
    <row r="7" spans="1:10" x14ac:dyDescent="0.35">
      <c r="A7" t="s">
        <v>194</v>
      </c>
      <c r="B7" s="76">
        <f>'Ann 4'!C32/100000</f>
        <v>-8.8200800000000008</v>
      </c>
      <c r="C7" s="76">
        <f>'Ann 4'!D32/100000</f>
        <v>11.037155357142836</v>
      </c>
      <c r="D7" s="76">
        <f>'Ann 4'!E32/100000</f>
        <v>14.473679839285687</v>
      </c>
      <c r="E7" s="76">
        <f>'Ann 4'!F32/100000</f>
        <v>17.758429277678477</v>
      </c>
      <c r="F7" s="76">
        <f>'Ann 4'!G32/100000</f>
        <v>20.902029626383836</v>
      </c>
      <c r="G7" s="76">
        <f>'Ann 4'!H32/100000</f>
        <v>15.933175357479879</v>
      </c>
      <c r="H7" s="76">
        <f>'Ann 4'!I32/100000</f>
        <v>18.398875361289218</v>
      </c>
      <c r="I7" s="76">
        <f>'Ann 4'!J32/100000</f>
        <v>18.176543517745994</v>
      </c>
      <c r="J7" s="76">
        <f>'Ann 4'!K32/100000</f>
        <v>17.494265082354914</v>
      </c>
    </row>
    <row r="8" spans="1:10" x14ac:dyDescent="0.35">
      <c r="A8" t="s">
        <v>195</v>
      </c>
      <c r="B8" s="76">
        <f>'Ann 4'!C34/100000</f>
        <v>-6.7740559999999999</v>
      </c>
      <c r="C8" s="76">
        <f>'Ann 4'!D34/100000</f>
        <v>7.7260087499999859</v>
      </c>
      <c r="D8" s="76">
        <f>'Ann 4'!E34/100000</f>
        <v>10.131575887499981</v>
      </c>
      <c r="E8" s="76">
        <f>'Ann 4'!F34/100000</f>
        <v>12.430900494374935</v>
      </c>
      <c r="F8" s="76">
        <f>'Ann 4'!G34/100000</f>
        <v>14.631420738468684</v>
      </c>
      <c r="G8" s="76">
        <f>'Ann 4'!H34/100000</f>
        <v>11.153222750235917</v>
      </c>
      <c r="H8" s="76">
        <f>'Ann 4'!I34/100000</f>
        <v>12.879212752902452</v>
      </c>
      <c r="I8" s="76">
        <f>'Ann 4'!J34/100000</f>
        <v>12.723580462422197</v>
      </c>
      <c r="J8" s="76">
        <f>'Ann 4'!K34/100000</f>
        <v>12.245985557648442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8" sqref="B8"/>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215</v>
      </c>
      <c r="B1" s="22" t="s">
        <v>216</v>
      </c>
    </row>
    <row r="2" spans="1:12" x14ac:dyDescent="0.35">
      <c r="A2">
        <v>1</v>
      </c>
      <c r="B2" t="s">
        <v>314</v>
      </c>
    </row>
    <row r="3" spans="1:12" x14ac:dyDescent="0.35">
      <c r="A3">
        <v>2</v>
      </c>
      <c r="B3" t="s">
        <v>217</v>
      </c>
    </row>
    <row r="4" spans="1:12" x14ac:dyDescent="0.35">
      <c r="C4" t="s">
        <v>170</v>
      </c>
      <c r="D4">
        <v>50000</v>
      </c>
      <c r="E4">
        <f>D4*1.05</f>
        <v>52500</v>
      </c>
      <c r="F4">
        <f t="shared" ref="F4:J4" si="0">E4*1.05</f>
        <v>55125</v>
      </c>
      <c r="G4">
        <f t="shared" si="0"/>
        <v>57881.25</v>
      </c>
      <c r="H4">
        <f t="shared" si="0"/>
        <v>60775.3125</v>
      </c>
      <c r="I4">
        <f t="shared" si="0"/>
        <v>63814.078125</v>
      </c>
      <c r="J4">
        <f t="shared" si="0"/>
        <v>67004.782031249997</v>
      </c>
      <c r="K4">
        <f>J4</f>
        <v>67004.782031249997</v>
      </c>
      <c r="L4">
        <f>K4</f>
        <v>67004.782031249997</v>
      </c>
    </row>
    <row r="5" spans="1:12" x14ac:dyDescent="0.35">
      <c r="C5" t="s">
        <v>72</v>
      </c>
      <c r="D5">
        <f>D4*10</f>
        <v>500000</v>
      </c>
      <c r="E5">
        <f>E4*10</f>
        <v>525000</v>
      </c>
      <c r="F5">
        <f t="shared" ref="F5:L5" si="1">F4*10</f>
        <v>551250</v>
      </c>
      <c r="G5">
        <f t="shared" si="1"/>
        <v>578812.5</v>
      </c>
      <c r="H5">
        <f t="shared" si="1"/>
        <v>607753.125</v>
      </c>
      <c r="I5">
        <f t="shared" si="1"/>
        <v>638140.78125</v>
      </c>
      <c r="J5">
        <f t="shared" si="1"/>
        <v>670047.8203125</v>
      </c>
      <c r="K5">
        <f t="shared" si="1"/>
        <v>670047.8203125</v>
      </c>
      <c r="L5">
        <f t="shared" si="1"/>
        <v>670047.8203125</v>
      </c>
    </row>
    <row r="6" spans="1:12" x14ac:dyDescent="0.35">
      <c r="A6">
        <v>3</v>
      </c>
      <c r="B6" t="s">
        <v>333</v>
      </c>
    </row>
    <row r="7" spans="1:12" x14ac:dyDescent="0.35">
      <c r="A7">
        <v>4</v>
      </c>
      <c r="B7" t="s">
        <v>334</v>
      </c>
    </row>
    <row r="8" spans="1:12" x14ac:dyDescent="0.35">
      <c r="A8">
        <v>5</v>
      </c>
      <c r="B8" t="s">
        <v>270</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138</v>
      </c>
    </row>
    <row r="2" spans="1:11" x14ac:dyDescent="0.35">
      <c r="C2" t="s">
        <v>39</v>
      </c>
      <c r="D2" t="s">
        <v>40</v>
      </c>
      <c r="E2" t="s">
        <v>41</v>
      </c>
      <c r="F2" t="s">
        <v>42</v>
      </c>
      <c r="G2" t="s">
        <v>43</v>
      </c>
      <c r="H2" t="s">
        <v>44</v>
      </c>
      <c r="I2" t="s">
        <v>45</v>
      </c>
      <c r="J2" t="s">
        <v>46</v>
      </c>
      <c r="K2" t="s">
        <v>47</v>
      </c>
    </row>
    <row r="3" spans="1:11" x14ac:dyDescent="0.35">
      <c r="A3" t="s">
        <v>139</v>
      </c>
      <c r="C3">
        <f>'Ann 4'!C21/300*270</f>
        <v>35021700</v>
      </c>
      <c r="D3">
        <f>'Ann 4'!D21/300*270</f>
        <v>39062250</v>
      </c>
      <c r="E3">
        <f>'Ann 4'!E21/300*270</f>
        <v>41666400</v>
      </c>
      <c r="F3">
        <f>'Ann 4'!F21/300*270</f>
        <v>44270550</v>
      </c>
      <c r="G3">
        <f>'Ann 4'!G21/300*270</f>
        <v>46874700</v>
      </c>
      <c r="H3">
        <f>'Ann 4'!H21/300*270</f>
        <v>49478850</v>
      </c>
      <c r="I3">
        <f>'Ann 4'!I21/300*270</f>
        <v>52083000</v>
      </c>
      <c r="J3">
        <f>'Ann 4'!J21/300*270</f>
        <v>52083000</v>
      </c>
      <c r="K3">
        <f>'Ann 4'!K21/300*270</f>
        <v>52083000</v>
      </c>
    </row>
    <row r="4" spans="1:11" x14ac:dyDescent="0.35">
      <c r="A4" t="s">
        <v>140</v>
      </c>
      <c r="C4">
        <v>5000000</v>
      </c>
    </row>
    <row r="5" spans="1:11" x14ac:dyDescent="0.35">
      <c r="A5" t="s">
        <v>141</v>
      </c>
      <c r="C5">
        <v>21492978</v>
      </c>
    </row>
    <row r="7" spans="1:11" x14ac:dyDescent="0.35">
      <c r="A7" t="s">
        <v>142</v>
      </c>
      <c r="C7">
        <f>'Ann 3'!E23</f>
        <v>6113500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D44"/>
  <sheetViews>
    <sheetView workbookViewId="0">
      <selection activeCell="C42" sqref="C42"/>
    </sheetView>
  </sheetViews>
  <sheetFormatPr defaultRowHeight="14.5" x14ac:dyDescent="0.35"/>
  <cols>
    <col min="2" max="2" width="44.90625" customWidth="1"/>
    <col min="3" max="3" width="13.26953125" customWidth="1"/>
  </cols>
  <sheetData>
    <row r="1" spans="1:3" x14ac:dyDescent="0.35">
      <c r="A1" s="22" t="s">
        <v>218</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7.5</v>
      </c>
    </row>
    <row r="9" spans="1:3" x14ac:dyDescent="0.35">
      <c r="A9" s="7"/>
      <c r="B9" s="9" t="s">
        <v>8</v>
      </c>
      <c r="C9" s="66">
        <f>SUM(C8)</f>
        <v>7.5</v>
      </c>
    </row>
    <row r="10" spans="1:3" x14ac:dyDescent="0.35">
      <c r="A10" s="7"/>
      <c r="B10" s="9"/>
      <c r="C10" s="6"/>
    </row>
    <row r="11" spans="1:3" x14ac:dyDescent="0.35">
      <c r="A11" s="7">
        <v>2</v>
      </c>
      <c r="B11" s="9" t="s">
        <v>164</v>
      </c>
      <c r="C11" s="66">
        <v>0</v>
      </c>
    </row>
    <row r="12" spans="1:3" x14ac:dyDescent="0.35">
      <c r="A12" s="7" t="s">
        <v>5</v>
      </c>
      <c r="B12" s="9" t="s">
        <v>8</v>
      </c>
      <c r="C12" s="66">
        <f>C11</f>
        <v>0</v>
      </c>
    </row>
    <row r="13" spans="1:3" x14ac:dyDescent="0.35">
      <c r="A13" s="7"/>
      <c r="B13" s="9"/>
      <c r="C13" s="6"/>
    </row>
    <row r="14" spans="1:3" x14ac:dyDescent="0.35">
      <c r="A14" s="7">
        <v>3</v>
      </c>
      <c r="B14" s="9" t="s">
        <v>9</v>
      </c>
      <c r="C14" s="6"/>
    </row>
    <row r="15" spans="1:3" x14ac:dyDescent="0.35">
      <c r="A15" s="7" t="s">
        <v>5</v>
      </c>
      <c r="B15" s="9" t="s">
        <v>9</v>
      </c>
      <c r="C15" s="100">
        <f>'Ann 3'!E5/100000</f>
        <v>35</v>
      </c>
    </row>
    <row r="16" spans="1:3" x14ac:dyDescent="0.35">
      <c r="A16" s="7"/>
      <c r="B16" s="9" t="s">
        <v>8</v>
      </c>
      <c r="C16" s="26">
        <f>C15</f>
        <v>35</v>
      </c>
    </row>
    <row r="17" spans="1:3" x14ac:dyDescent="0.35">
      <c r="A17" s="7"/>
      <c r="B17" s="9"/>
      <c r="C17" s="6"/>
    </row>
    <row r="18" spans="1:3" x14ac:dyDescent="0.35">
      <c r="A18" s="7">
        <v>4</v>
      </c>
      <c r="B18" s="9" t="s">
        <v>10</v>
      </c>
      <c r="C18" s="6"/>
    </row>
    <row r="19" spans="1:3" x14ac:dyDescent="0.35">
      <c r="A19" s="7" t="s">
        <v>5</v>
      </c>
      <c r="B19" s="9" t="s">
        <v>11</v>
      </c>
      <c r="C19" s="26">
        <f>'Ann 3'!E19/100000</f>
        <v>22.355</v>
      </c>
    </row>
    <row r="20" spans="1:3" x14ac:dyDescent="0.35">
      <c r="A20" s="7"/>
      <c r="B20" s="9" t="s">
        <v>8</v>
      </c>
      <c r="C20" s="27">
        <f>C19</f>
        <v>22.355</v>
      </c>
    </row>
    <row r="21" spans="1:3" x14ac:dyDescent="0.35">
      <c r="A21" s="7"/>
      <c r="B21" s="9"/>
      <c r="C21" s="6"/>
    </row>
    <row r="22" spans="1:3" x14ac:dyDescent="0.35">
      <c r="A22" s="7">
        <v>5</v>
      </c>
      <c r="B22" s="9" t="s">
        <v>12</v>
      </c>
      <c r="C22" s="6"/>
    </row>
    <row r="23" spans="1:3" x14ac:dyDescent="0.35">
      <c r="A23" s="7" t="s">
        <v>5</v>
      </c>
      <c r="B23" s="9" t="s">
        <v>13</v>
      </c>
      <c r="C23" s="66">
        <f>'Ann 3'!E21/100000</f>
        <v>3.78</v>
      </c>
    </row>
    <row r="24" spans="1:3" x14ac:dyDescent="0.35">
      <c r="A24" s="7"/>
      <c r="B24" s="9"/>
      <c r="C24" s="66"/>
    </row>
    <row r="25" spans="1:3" x14ac:dyDescent="0.35">
      <c r="A25" s="7">
        <v>6</v>
      </c>
      <c r="B25" s="9" t="s">
        <v>14</v>
      </c>
      <c r="C25" s="66">
        <v>22.23</v>
      </c>
    </row>
    <row r="26" spans="1:3" x14ac:dyDescent="0.35">
      <c r="A26" s="7"/>
      <c r="B26" s="9"/>
      <c r="C26" s="66"/>
    </row>
    <row r="27" spans="1:3" x14ac:dyDescent="0.35">
      <c r="A27" s="7">
        <v>7</v>
      </c>
      <c r="B27" s="9" t="s">
        <v>15</v>
      </c>
      <c r="C27" s="66">
        <v>0</v>
      </c>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4" x14ac:dyDescent="0.35">
      <c r="A33" s="7" t="s">
        <v>5</v>
      </c>
      <c r="B33" s="9" t="s">
        <v>19</v>
      </c>
      <c r="C33" s="66"/>
    </row>
    <row r="34" spans="1:4" x14ac:dyDescent="0.35">
      <c r="A34" s="7" t="s">
        <v>20</v>
      </c>
      <c r="B34" s="9" t="s">
        <v>21</v>
      </c>
      <c r="C34" s="66">
        <v>2</v>
      </c>
    </row>
    <row r="35" spans="1:4" x14ac:dyDescent="0.35">
      <c r="A35" s="7"/>
      <c r="B35" s="9" t="s">
        <v>8</v>
      </c>
      <c r="C35" s="66">
        <f>SUM(C33:C34)</f>
        <v>2</v>
      </c>
    </row>
    <row r="36" spans="1:4" x14ac:dyDescent="0.35">
      <c r="A36" s="7"/>
      <c r="B36" s="9"/>
      <c r="C36" s="66"/>
    </row>
    <row r="37" spans="1:4" x14ac:dyDescent="0.35">
      <c r="A37" s="7">
        <v>9</v>
      </c>
      <c r="B37" s="9" t="s">
        <v>249</v>
      </c>
      <c r="C37" s="66">
        <v>0</v>
      </c>
    </row>
    <row r="38" spans="1:4" x14ac:dyDescent="0.35">
      <c r="A38" s="7"/>
      <c r="B38" s="9"/>
      <c r="C38" s="66"/>
    </row>
    <row r="39" spans="1:4" x14ac:dyDescent="0.35">
      <c r="A39" s="7">
        <v>10</v>
      </c>
      <c r="B39" s="9" t="s">
        <v>64</v>
      </c>
      <c r="C39" s="101">
        <v>1.135</v>
      </c>
      <c r="D39" s="24"/>
    </row>
    <row r="40" spans="1:4" x14ac:dyDescent="0.35">
      <c r="A40" s="7"/>
      <c r="B40" s="9"/>
      <c r="C40" s="6"/>
    </row>
    <row r="41" spans="1:4" x14ac:dyDescent="0.35">
      <c r="A41" s="8"/>
      <c r="B41" s="11" t="s">
        <v>22</v>
      </c>
      <c r="C41" s="28">
        <f>C35+C27+C25+C20+C16+C23+C37+C12+C9+C39</f>
        <v>94.000000000000014</v>
      </c>
    </row>
    <row r="42" spans="1:4" x14ac:dyDescent="0.35">
      <c r="A42" s="1"/>
    </row>
    <row r="43" spans="1:4" x14ac:dyDescent="0.35">
      <c r="A43" s="1"/>
    </row>
    <row r="44" spans="1:4" x14ac:dyDescent="0.35">
      <c r="A44"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D6" sqref="D6"/>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9.4000000000000021</v>
      </c>
      <c r="D4" s="42"/>
    </row>
    <row r="5" spans="1:4" x14ac:dyDescent="0.35">
      <c r="A5" s="14">
        <v>2</v>
      </c>
      <c r="B5" s="5" t="s">
        <v>27</v>
      </c>
      <c r="C5" s="27">
        <v>0</v>
      </c>
      <c r="D5" s="2"/>
    </row>
    <row r="6" spans="1:4" x14ac:dyDescent="0.35">
      <c r="A6" s="14">
        <v>3</v>
      </c>
      <c r="B6" s="5" t="s">
        <v>28</v>
      </c>
      <c r="C6" s="26">
        <f>C8-C4-C7</f>
        <v>62.370000000000005</v>
      </c>
      <c r="D6" s="42"/>
    </row>
    <row r="7" spans="1:4" x14ac:dyDescent="0.35">
      <c r="A7" s="14">
        <v>4</v>
      </c>
      <c r="B7" s="5" t="s">
        <v>29</v>
      </c>
      <c r="C7" s="26">
        <f>'Ann 1'!C25</f>
        <v>22.23</v>
      </c>
      <c r="D7" s="42"/>
    </row>
    <row r="8" spans="1:4" x14ac:dyDescent="0.35">
      <c r="A8" s="13"/>
      <c r="B8" s="4" t="s">
        <v>8</v>
      </c>
      <c r="C8" s="37">
        <f>'Ann 1'!C41</f>
        <v>94.000000000000014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E25"/>
  <sheetViews>
    <sheetView topLeftCell="A2" workbookViewId="0">
      <selection activeCell="B13" sqref="B13"/>
    </sheetView>
  </sheetViews>
  <sheetFormatPr defaultRowHeight="14.5" x14ac:dyDescent="0.35"/>
  <cols>
    <col min="1" max="1" width="2.81640625" bestFit="1" customWidth="1"/>
    <col min="2" max="2" width="90.1796875" bestFit="1" customWidth="1"/>
    <col min="4" max="4" width="10.54296875" customWidth="1"/>
    <col min="5" max="5" width="12.1796875" bestFit="1" customWidth="1"/>
    <col min="7" max="7" width="9.1796875" bestFit="1" customWidth="1"/>
  </cols>
  <sheetData>
    <row r="1" spans="1:5" x14ac:dyDescent="0.35">
      <c r="A1" s="22" t="s">
        <v>30</v>
      </c>
    </row>
    <row r="3" spans="1:5" x14ac:dyDescent="0.35">
      <c r="A3" s="36" t="s">
        <v>240</v>
      </c>
      <c r="B3" s="32"/>
      <c r="C3" s="32" t="s">
        <v>31</v>
      </c>
      <c r="D3" s="32"/>
      <c r="E3" s="75" t="s">
        <v>32</v>
      </c>
    </row>
    <row r="4" spans="1:5" x14ac:dyDescent="0.35">
      <c r="A4" s="43">
        <v>1</v>
      </c>
      <c r="B4" s="87" t="s">
        <v>262</v>
      </c>
      <c r="C4" s="82">
        <v>1</v>
      </c>
      <c r="D4" s="83"/>
      <c r="E4" s="84">
        <v>3500000</v>
      </c>
    </row>
    <row r="5" spans="1:5" x14ac:dyDescent="0.35">
      <c r="A5" s="89" t="s">
        <v>241</v>
      </c>
      <c r="B5" s="90"/>
      <c r="C5" s="90"/>
      <c r="D5" s="90"/>
      <c r="E5" s="91">
        <f>SUM(E4:E4)</f>
        <v>3500000</v>
      </c>
    </row>
    <row r="6" spans="1:5" x14ac:dyDescent="0.35">
      <c r="A6" s="13"/>
      <c r="B6" s="4"/>
      <c r="C6" s="4"/>
      <c r="D6" s="4"/>
      <c r="E6" s="86"/>
    </row>
    <row r="7" spans="1:5" x14ac:dyDescent="0.35">
      <c r="A7" s="36" t="s">
        <v>33</v>
      </c>
      <c r="B7" s="32"/>
      <c r="C7" s="32" t="s">
        <v>31</v>
      </c>
      <c r="D7" s="32"/>
      <c r="E7" s="75" t="s">
        <v>32</v>
      </c>
    </row>
    <row r="8" spans="1:5" x14ac:dyDescent="0.35">
      <c r="A8" s="43">
        <v>1</v>
      </c>
      <c r="B8" s="39" t="s">
        <v>250</v>
      </c>
      <c r="C8" s="82">
        <v>2</v>
      </c>
      <c r="D8" s="83"/>
      <c r="E8" s="84">
        <v>380000</v>
      </c>
    </row>
    <row r="9" spans="1:5" x14ac:dyDescent="0.35">
      <c r="A9" s="14">
        <v>2</v>
      </c>
      <c r="B9" s="39" t="s">
        <v>251</v>
      </c>
      <c r="C9" s="39">
        <v>2</v>
      </c>
      <c r="D9" s="17"/>
      <c r="E9" s="92">
        <v>330000</v>
      </c>
    </row>
    <row r="10" spans="1:5" x14ac:dyDescent="0.35">
      <c r="A10" s="14">
        <v>3</v>
      </c>
      <c r="B10" s="39" t="s">
        <v>252</v>
      </c>
      <c r="C10" s="39">
        <v>1</v>
      </c>
      <c r="D10" s="17"/>
      <c r="E10" s="85">
        <v>187000</v>
      </c>
    </row>
    <row r="11" spans="1:5" x14ac:dyDescent="0.35">
      <c r="A11" s="14">
        <v>4</v>
      </c>
      <c r="B11" s="39" t="s">
        <v>253</v>
      </c>
      <c r="C11" s="39">
        <v>1</v>
      </c>
      <c r="D11" s="17"/>
      <c r="E11" s="85">
        <v>155000</v>
      </c>
    </row>
    <row r="12" spans="1:5" x14ac:dyDescent="0.35">
      <c r="A12" s="14">
        <v>5</v>
      </c>
      <c r="B12" s="39" t="s">
        <v>254</v>
      </c>
      <c r="C12" s="39">
        <v>1</v>
      </c>
      <c r="D12" s="17"/>
      <c r="E12" s="85">
        <v>170000</v>
      </c>
    </row>
    <row r="13" spans="1:5" x14ac:dyDescent="0.35">
      <c r="A13" s="14">
        <v>6</v>
      </c>
      <c r="B13" s="39" t="s">
        <v>255</v>
      </c>
      <c r="C13" s="39">
        <v>1</v>
      </c>
      <c r="D13" s="17"/>
      <c r="E13" s="85">
        <v>120000</v>
      </c>
    </row>
    <row r="14" spans="1:5" x14ac:dyDescent="0.35">
      <c r="A14" s="14">
        <v>7</v>
      </c>
      <c r="B14" s="39" t="s">
        <v>256</v>
      </c>
      <c r="C14" s="39">
        <v>1</v>
      </c>
      <c r="D14" s="17"/>
      <c r="E14" s="85">
        <v>135000</v>
      </c>
    </row>
    <row r="15" spans="1:5" x14ac:dyDescent="0.35">
      <c r="A15" s="14">
        <v>8</v>
      </c>
      <c r="B15" s="39" t="s">
        <v>257</v>
      </c>
      <c r="C15" s="39">
        <v>1</v>
      </c>
      <c r="D15" s="17"/>
      <c r="E15" s="85">
        <v>100000</v>
      </c>
    </row>
    <row r="16" spans="1:5" x14ac:dyDescent="0.35">
      <c r="A16" s="14">
        <v>9</v>
      </c>
      <c r="B16" s="39" t="s">
        <v>258</v>
      </c>
      <c r="C16" s="39">
        <v>1</v>
      </c>
      <c r="D16" s="17"/>
      <c r="E16" s="85">
        <v>15000</v>
      </c>
    </row>
    <row r="17" spans="1:5" x14ac:dyDescent="0.35">
      <c r="A17" s="14">
        <v>10</v>
      </c>
      <c r="B17" s="39" t="s">
        <v>259</v>
      </c>
      <c r="C17" s="39">
        <v>1</v>
      </c>
      <c r="D17" s="17"/>
      <c r="E17" s="85">
        <v>65500</v>
      </c>
    </row>
    <row r="18" spans="1:5" x14ac:dyDescent="0.35">
      <c r="A18" s="14">
        <v>11</v>
      </c>
      <c r="B18" s="39" t="s">
        <v>260</v>
      </c>
      <c r="C18" s="39"/>
      <c r="D18" s="17"/>
      <c r="E18" s="85">
        <v>578000</v>
      </c>
    </row>
    <row r="19" spans="1:5" s="22" customFormat="1" x14ac:dyDescent="0.35">
      <c r="A19" s="19" t="s">
        <v>34</v>
      </c>
      <c r="B19" s="20"/>
      <c r="C19" s="20"/>
      <c r="D19" s="20"/>
      <c r="E19" s="21">
        <f>SUM(E8:E18)</f>
        <v>2235500</v>
      </c>
    </row>
    <row r="20" spans="1:5" x14ac:dyDescent="0.35">
      <c r="A20" s="14"/>
      <c r="B20" s="5"/>
      <c r="C20" s="5"/>
      <c r="D20" s="5"/>
      <c r="E20" s="6"/>
    </row>
    <row r="21" spans="1:5" x14ac:dyDescent="0.35">
      <c r="A21" s="36" t="s">
        <v>261</v>
      </c>
      <c r="B21" s="32"/>
      <c r="C21" s="32"/>
      <c r="D21" s="32"/>
      <c r="E21" s="33">
        <v>378000</v>
      </c>
    </row>
    <row r="22" spans="1:5" x14ac:dyDescent="0.35">
      <c r="A22" s="14"/>
      <c r="B22" s="5"/>
      <c r="C22" s="5"/>
      <c r="D22" s="5"/>
      <c r="E22" s="6"/>
    </row>
    <row r="23" spans="1:5" s="22" customFormat="1" x14ac:dyDescent="0.35">
      <c r="A23" s="19" t="s">
        <v>35</v>
      </c>
      <c r="B23" s="20"/>
      <c r="C23" s="20"/>
      <c r="D23" s="20"/>
      <c r="E23" s="21">
        <f>E19+E5+E21</f>
        <v>6113500</v>
      </c>
    </row>
    <row r="24" spans="1:5" x14ac:dyDescent="0.35">
      <c r="E24" s="24"/>
    </row>
    <row r="25" spans="1:5" x14ac:dyDescent="0.35">
      <c r="E25" s="16"/>
    </row>
  </sheetData>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3"/>
  <sheetViews>
    <sheetView workbookViewId="0"/>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16" t="s">
        <v>48</v>
      </c>
      <c r="D3" s="116"/>
      <c r="E3" s="116"/>
      <c r="F3" s="116"/>
      <c r="G3" s="116"/>
      <c r="H3" s="116"/>
      <c r="I3" s="116"/>
      <c r="J3" s="116"/>
      <c r="K3" s="116"/>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282</v>
      </c>
      <c r="C7" s="30">
        <f>Budgets!C10*Budgets!$E$21</f>
        <v>32400000</v>
      </c>
      <c r="D7" s="30">
        <f>Budgets!D10*Budgets!$E$21</f>
        <v>34714285.714285716</v>
      </c>
      <c r="E7" s="30">
        <f>Budgets!E10*Budgets!$E$21</f>
        <v>37028571.428571433</v>
      </c>
      <c r="F7" s="30">
        <f>Budgets!F10*Budgets!$E$21</f>
        <v>39342857.142857149</v>
      </c>
      <c r="G7" s="30">
        <f>Budgets!G10*Budgets!$E$21</f>
        <v>41657142.857142866</v>
      </c>
      <c r="H7" s="30">
        <f>Budgets!H10*Budgets!$E$21</f>
        <v>43971428.571428575</v>
      </c>
      <c r="I7" s="30">
        <f>Budgets!I10*Budgets!$E$21</f>
        <v>46285714.285714284</v>
      </c>
      <c r="J7" s="30">
        <f>Budgets!J10*Budgets!$E$21</f>
        <v>46285714.285714284</v>
      </c>
      <c r="K7" s="30">
        <f>Budgets!K10*Budgets!$E$21</f>
        <v>46285714.285714284</v>
      </c>
    </row>
    <row r="8" spans="1:11" x14ac:dyDescent="0.35">
      <c r="A8" s="12"/>
      <c r="B8" s="12" t="s">
        <v>169</v>
      </c>
      <c r="C8" s="30">
        <f>100000+C41</f>
        <v>600000</v>
      </c>
      <c r="D8" s="30">
        <f t="shared" ref="D8:K8" si="0">100000+D41</f>
        <v>625000</v>
      </c>
      <c r="E8" s="30">
        <f t="shared" si="0"/>
        <v>651250</v>
      </c>
      <c r="F8" s="30">
        <f t="shared" si="0"/>
        <v>678812.5</v>
      </c>
      <c r="G8" s="30">
        <f t="shared" si="0"/>
        <v>707753.125</v>
      </c>
      <c r="H8" s="30">
        <f t="shared" si="0"/>
        <v>738140.78125</v>
      </c>
      <c r="I8" s="30">
        <f t="shared" si="0"/>
        <v>770047.8203125</v>
      </c>
      <c r="J8" s="30">
        <f t="shared" si="0"/>
        <v>770047.8203125</v>
      </c>
      <c r="K8" s="30">
        <f t="shared" si="0"/>
        <v>770047.8203125</v>
      </c>
    </row>
    <row r="9" spans="1:11" x14ac:dyDescent="0.35">
      <c r="A9" s="12"/>
      <c r="B9" s="12" t="s">
        <v>269</v>
      </c>
      <c r="C9" s="30">
        <f>2%*'Ann 3'!E19</f>
        <v>44710</v>
      </c>
      <c r="D9" s="30">
        <f>C9*1.05</f>
        <v>46945.5</v>
      </c>
      <c r="E9" s="30">
        <f t="shared" ref="E9:K9" si="1">D9*1.05</f>
        <v>49292.775000000001</v>
      </c>
      <c r="F9" s="30">
        <f t="shared" si="1"/>
        <v>51757.413750000007</v>
      </c>
      <c r="G9" s="30">
        <f t="shared" si="1"/>
        <v>54345.284437500013</v>
      </c>
      <c r="H9" s="30">
        <f t="shared" si="1"/>
        <v>57062.548659375017</v>
      </c>
      <c r="I9" s="30">
        <f t="shared" si="1"/>
        <v>59915.676092343769</v>
      </c>
      <c r="J9" s="30">
        <f t="shared" si="1"/>
        <v>62911.459896960958</v>
      </c>
      <c r="K9" s="30">
        <f t="shared" si="1"/>
        <v>66057.032891809009</v>
      </c>
    </row>
    <row r="10" spans="1:11" x14ac:dyDescent="0.35">
      <c r="A10" s="12"/>
      <c r="B10" s="12" t="s">
        <v>304</v>
      </c>
      <c r="C10" s="30">
        <f>C21*10%</f>
        <v>3891300</v>
      </c>
      <c r="D10" s="30">
        <f t="shared" ref="D10:K10" si="2">D21*10%</f>
        <v>4340250</v>
      </c>
      <c r="E10" s="30">
        <f t="shared" si="2"/>
        <v>4629600</v>
      </c>
      <c r="F10" s="30">
        <f t="shared" si="2"/>
        <v>4918950</v>
      </c>
      <c r="G10" s="30">
        <f t="shared" si="2"/>
        <v>5208300</v>
      </c>
      <c r="H10" s="30">
        <f t="shared" si="2"/>
        <v>5497650</v>
      </c>
      <c r="I10" s="30">
        <f t="shared" si="2"/>
        <v>5787000</v>
      </c>
      <c r="J10" s="30">
        <f t="shared" si="2"/>
        <v>5787000</v>
      </c>
      <c r="K10" s="30">
        <f t="shared" si="2"/>
        <v>5787000</v>
      </c>
    </row>
    <row r="11" spans="1:11" x14ac:dyDescent="0.35">
      <c r="A11" s="12"/>
      <c r="B11" s="12" t="s">
        <v>171</v>
      </c>
      <c r="C11" s="30">
        <f>SUM(C7:C10)</f>
        <v>36936010</v>
      </c>
      <c r="D11" s="30">
        <f t="shared" ref="D11:K11" si="3">SUM(D7:D10)</f>
        <v>39726481.214285716</v>
      </c>
      <c r="E11" s="30">
        <f t="shared" si="3"/>
        <v>42358714.203571431</v>
      </c>
      <c r="F11" s="30">
        <f t="shared" si="3"/>
        <v>44992377.05660715</v>
      </c>
      <c r="G11" s="30">
        <f t="shared" si="3"/>
        <v>47627541.266580366</v>
      </c>
      <c r="H11" s="30">
        <f t="shared" si="3"/>
        <v>50264281.901337951</v>
      </c>
      <c r="I11" s="30">
        <f t="shared" si="3"/>
        <v>52902677.782119125</v>
      </c>
      <c r="J11" s="30">
        <f t="shared" si="3"/>
        <v>52905673.565923743</v>
      </c>
      <c r="K11" s="30">
        <f t="shared" si="3"/>
        <v>52908819.138918594</v>
      </c>
    </row>
    <row r="12" spans="1:11" x14ac:dyDescent="0.35">
      <c r="A12" s="12"/>
      <c r="B12" s="12" t="s">
        <v>271</v>
      </c>
      <c r="C12" s="30">
        <v>0</v>
      </c>
      <c r="D12" s="30">
        <f>C13</f>
        <v>294000</v>
      </c>
      <c r="E12" s="30">
        <f t="shared" ref="E12:K12" si="4">D13</f>
        <v>609000</v>
      </c>
      <c r="F12" s="30">
        <f t="shared" si="4"/>
        <v>945000</v>
      </c>
      <c r="G12" s="30">
        <f t="shared" si="4"/>
        <v>1302000</v>
      </c>
      <c r="H12" s="30">
        <f t="shared" si="4"/>
        <v>1680000</v>
      </c>
      <c r="I12" s="30">
        <f t="shared" si="4"/>
        <v>1281000</v>
      </c>
      <c r="J12" s="30">
        <f t="shared" si="4"/>
        <v>861000</v>
      </c>
      <c r="K12" s="30">
        <f t="shared" si="4"/>
        <v>441000</v>
      </c>
    </row>
    <row r="13" spans="1:11" x14ac:dyDescent="0.35">
      <c r="A13" s="12"/>
      <c r="B13" s="12" t="s">
        <v>272</v>
      </c>
      <c r="C13" s="30">
        <f>Budgets!C28*35</f>
        <v>294000</v>
      </c>
      <c r="D13" s="30">
        <f>Budgets!D28*35</f>
        <v>609000</v>
      </c>
      <c r="E13" s="30">
        <f>Budgets!E28*35</f>
        <v>945000</v>
      </c>
      <c r="F13" s="30">
        <f>Budgets!F28*35</f>
        <v>1302000</v>
      </c>
      <c r="G13" s="30">
        <f>Budgets!G28*35</f>
        <v>1680000</v>
      </c>
      <c r="H13" s="30">
        <f>Budgets!H28*35</f>
        <v>1281000</v>
      </c>
      <c r="I13" s="30">
        <f>Budgets!I28*35</f>
        <v>861000</v>
      </c>
      <c r="J13" s="30">
        <f>Budgets!J28*35</f>
        <v>441000</v>
      </c>
      <c r="K13" s="30">
        <f>Budgets!K28*35</f>
        <v>21000</v>
      </c>
    </row>
    <row r="14" spans="1:11" x14ac:dyDescent="0.35">
      <c r="A14" s="12"/>
      <c r="B14" s="12" t="s">
        <v>172</v>
      </c>
      <c r="C14" s="30">
        <f>C11+C12-C13</f>
        <v>36642010</v>
      </c>
      <c r="D14" s="30">
        <f t="shared" ref="D14:K14" si="5">D11+D12-D13</f>
        <v>39411481.214285716</v>
      </c>
      <c r="E14" s="30">
        <f t="shared" si="5"/>
        <v>42022714.203571431</v>
      </c>
      <c r="F14" s="30">
        <f t="shared" si="5"/>
        <v>44635377.05660715</v>
      </c>
      <c r="G14" s="30">
        <f t="shared" si="5"/>
        <v>47249541.266580366</v>
      </c>
      <c r="H14" s="30">
        <f t="shared" si="5"/>
        <v>50663281.901337951</v>
      </c>
      <c r="I14" s="30">
        <f t="shared" si="5"/>
        <v>53322677.782119125</v>
      </c>
      <c r="J14" s="30">
        <f t="shared" si="5"/>
        <v>53325673.565923743</v>
      </c>
      <c r="K14" s="30">
        <f t="shared" si="5"/>
        <v>53328819.138918594</v>
      </c>
    </row>
    <row r="15" spans="1:11" x14ac:dyDescent="0.35">
      <c r="A15" s="12"/>
      <c r="B15" s="12"/>
      <c r="C15" s="30"/>
      <c r="D15" s="30"/>
      <c r="E15" s="30"/>
      <c r="F15" s="30"/>
      <c r="G15" s="30"/>
      <c r="H15" s="30"/>
      <c r="I15" s="30"/>
      <c r="J15" s="30"/>
      <c r="K15" s="30"/>
    </row>
    <row r="16" spans="1:11" x14ac:dyDescent="0.35">
      <c r="A16" s="12"/>
      <c r="B16" s="12" t="s">
        <v>51</v>
      </c>
      <c r="C16" s="30">
        <f>'Ann 8'!E14</f>
        <v>1425600</v>
      </c>
      <c r="D16" s="30">
        <f>1.05*C16</f>
        <v>1496880</v>
      </c>
      <c r="E16" s="30">
        <f t="shared" ref="E16:K16" si="6">1.05*D16</f>
        <v>1571724</v>
      </c>
      <c r="F16" s="30">
        <f t="shared" si="6"/>
        <v>1650310.2000000002</v>
      </c>
      <c r="G16" s="30">
        <f t="shared" si="6"/>
        <v>1732825.7100000002</v>
      </c>
      <c r="H16" s="30">
        <f t="shared" si="6"/>
        <v>1819466.9955000002</v>
      </c>
      <c r="I16" s="30">
        <f t="shared" si="6"/>
        <v>1910440.3452750002</v>
      </c>
      <c r="J16" s="30">
        <f t="shared" si="6"/>
        <v>2005962.3625387503</v>
      </c>
      <c r="K16" s="30">
        <f t="shared" si="6"/>
        <v>2106260.4806656879</v>
      </c>
    </row>
    <row r="17" spans="1:11" x14ac:dyDescent="0.35">
      <c r="A17" s="12"/>
      <c r="B17" s="12" t="s">
        <v>297</v>
      </c>
      <c r="C17" s="30">
        <v>200000</v>
      </c>
      <c r="D17" s="30">
        <v>200000</v>
      </c>
      <c r="E17" s="30">
        <v>200000</v>
      </c>
      <c r="F17" s="30">
        <v>200000</v>
      </c>
      <c r="G17" s="30">
        <v>200000</v>
      </c>
      <c r="H17" s="30">
        <v>200000</v>
      </c>
      <c r="I17" s="30">
        <v>200000</v>
      </c>
      <c r="J17" s="30">
        <v>200000</v>
      </c>
      <c r="K17" s="30">
        <v>200000</v>
      </c>
    </row>
    <row r="18" spans="1:11" x14ac:dyDescent="0.35">
      <c r="A18" s="12"/>
      <c r="B18" s="12" t="s">
        <v>8</v>
      </c>
      <c r="C18" s="30">
        <f>SUM(C16:C17)</f>
        <v>1625600</v>
      </c>
      <c r="D18" s="30">
        <f t="shared" ref="D18:K18" si="7">SUM(D16:D17)</f>
        <v>1696880</v>
      </c>
      <c r="E18" s="30">
        <f t="shared" si="7"/>
        <v>1771724</v>
      </c>
      <c r="F18" s="30">
        <f t="shared" si="7"/>
        <v>1850310.2000000002</v>
      </c>
      <c r="G18" s="30">
        <f t="shared" si="7"/>
        <v>1932825.7100000002</v>
      </c>
      <c r="H18" s="30">
        <f t="shared" si="7"/>
        <v>2019466.9955000002</v>
      </c>
      <c r="I18" s="30">
        <f t="shared" si="7"/>
        <v>2110440.3452750002</v>
      </c>
      <c r="J18" s="30">
        <f t="shared" si="7"/>
        <v>2205962.3625387503</v>
      </c>
      <c r="K18" s="30">
        <f t="shared" si="7"/>
        <v>2306260.4806656879</v>
      </c>
    </row>
    <row r="19" spans="1:11" x14ac:dyDescent="0.35">
      <c r="A19" s="12"/>
      <c r="B19" s="12"/>
      <c r="C19" s="30"/>
      <c r="D19" s="30"/>
      <c r="E19" s="30"/>
      <c r="F19" s="30"/>
      <c r="G19" s="30"/>
      <c r="H19" s="30"/>
      <c r="I19" s="30"/>
      <c r="J19" s="30"/>
      <c r="K19" s="30"/>
    </row>
    <row r="20" spans="1:11" x14ac:dyDescent="0.35">
      <c r="A20" s="12"/>
      <c r="B20" s="12" t="s">
        <v>86</v>
      </c>
      <c r="C20" s="30">
        <f t="shared" ref="C20:K20" si="8">C18+C14</f>
        <v>38267610</v>
      </c>
      <c r="D20" s="30">
        <f t="shared" si="8"/>
        <v>41108361.214285716</v>
      </c>
      <c r="E20" s="30">
        <f t="shared" si="8"/>
        <v>43794438.203571431</v>
      </c>
      <c r="F20" s="30">
        <f t="shared" si="8"/>
        <v>46485687.256607153</v>
      </c>
      <c r="G20" s="30">
        <f t="shared" si="8"/>
        <v>49182366.976580366</v>
      </c>
      <c r="H20" s="30">
        <f t="shared" si="8"/>
        <v>52682748.89683795</v>
      </c>
      <c r="I20" s="30">
        <f t="shared" si="8"/>
        <v>55433118.127394125</v>
      </c>
      <c r="J20" s="30">
        <f t="shared" si="8"/>
        <v>55531635.92846249</v>
      </c>
      <c r="K20" s="30">
        <f t="shared" si="8"/>
        <v>55635079.619584285</v>
      </c>
    </row>
    <row r="21" spans="1:11" x14ac:dyDescent="0.35">
      <c r="A21" s="12"/>
      <c r="B21" s="12" t="s">
        <v>87</v>
      </c>
      <c r="C21" s="30">
        <f>Budgets!C13</f>
        <v>38913000</v>
      </c>
      <c r="D21" s="30">
        <f>Budgets!D13</f>
        <v>43402500</v>
      </c>
      <c r="E21" s="30">
        <f>Budgets!E13</f>
        <v>46296000</v>
      </c>
      <c r="F21" s="30">
        <f>Budgets!F13</f>
        <v>49189500</v>
      </c>
      <c r="G21" s="30">
        <f>Budgets!G13</f>
        <v>52083000</v>
      </c>
      <c r="H21" s="30">
        <f>Budgets!H13</f>
        <v>54976500</v>
      </c>
      <c r="I21" s="30">
        <f>Budgets!I13</f>
        <v>57870000</v>
      </c>
      <c r="J21" s="30">
        <f>Budgets!J13</f>
        <v>57870000</v>
      </c>
      <c r="K21" s="30">
        <f>Budgets!K13</f>
        <v>57870000</v>
      </c>
    </row>
    <row r="22" spans="1:11" x14ac:dyDescent="0.35">
      <c r="A22" s="12"/>
      <c r="B22" s="12" t="s">
        <v>88</v>
      </c>
      <c r="C22" s="30">
        <f t="shared" ref="C22:K22" si="9">C21-C20</f>
        <v>645390</v>
      </c>
      <c r="D22" s="30">
        <f t="shared" si="9"/>
        <v>2294138.7857142836</v>
      </c>
      <c r="E22" s="30">
        <f t="shared" si="9"/>
        <v>2501561.7964285687</v>
      </c>
      <c r="F22" s="30">
        <f t="shared" si="9"/>
        <v>2703812.7433928475</v>
      </c>
      <c r="G22" s="30">
        <f t="shared" si="9"/>
        <v>2900633.0234196335</v>
      </c>
      <c r="H22" s="30">
        <f t="shared" si="9"/>
        <v>2293751.1031620502</v>
      </c>
      <c r="I22" s="30">
        <f t="shared" si="9"/>
        <v>2436881.8726058751</v>
      </c>
      <c r="J22" s="30">
        <f t="shared" si="9"/>
        <v>2338364.0715375096</v>
      </c>
      <c r="K22" s="30">
        <f t="shared" si="9"/>
        <v>2234920.3804157153</v>
      </c>
    </row>
    <row r="23" spans="1:11" x14ac:dyDescent="0.35">
      <c r="A23" s="12"/>
      <c r="B23" s="12"/>
      <c r="C23" s="30"/>
      <c r="D23" s="30"/>
      <c r="E23" s="30"/>
      <c r="F23" s="30"/>
      <c r="G23" s="30"/>
      <c r="H23" s="30"/>
      <c r="I23" s="30"/>
      <c r="J23" s="30"/>
      <c r="K23" s="30"/>
    </row>
    <row r="24" spans="1:11" x14ac:dyDescent="0.35">
      <c r="A24" s="12"/>
      <c r="B24" s="12" t="s">
        <v>89</v>
      </c>
      <c r="C24" s="30"/>
      <c r="D24" s="30"/>
      <c r="E24" s="30"/>
      <c r="F24" s="30"/>
      <c r="G24" s="30"/>
      <c r="H24" s="30"/>
      <c r="I24" s="30"/>
      <c r="J24" s="30"/>
      <c r="K24" s="30"/>
    </row>
    <row r="25" spans="1:11" x14ac:dyDescent="0.35">
      <c r="A25" s="12"/>
      <c r="B25" s="12" t="s">
        <v>90</v>
      </c>
      <c r="C25" s="30">
        <f>SUM('Ann 13'!E9:E12)*100000</f>
        <v>370622.99999999994</v>
      </c>
      <c r="D25" s="30">
        <f>SUM('Ann 13'!E13:E16)*100000</f>
        <v>323862</v>
      </c>
      <c r="E25" s="30">
        <f>SUM('Ann 13'!E17:E20)*100000</f>
        <v>266309.99999999994</v>
      </c>
      <c r="F25" s="30">
        <f>SUM('Ann 13'!E21:E24)*100000</f>
        <v>208757.99999999977</v>
      </c>
      <c r="G25" s="30">
        <f>SUM('Ann 13'!E25:E28)*100000</f>
        <v>151205.9999999998</v>
      </c>
      <c r="H25" s="30">
        <f>SUM('Ann 13'!E29:E32)*100000</f>
        <v>93653.999999999796</v>
      </c>
      <c r="I25" s="30">
        <f>SUM('Ann 13'!E33:E36)*100000</f>
        <v>36101.999999999818</v>
      </c>
      <c r="J25" s="30">
        <v>0</v>
      </c>
      <c r="K25" s="30">
        <v>0</v>
      </c>
    </row>
    <row r="26" spans="1:11" x14ac:dyDescent="0.35">
      <c r="A26" s="12"/>
      <c r="B26" s="12" t="s">
        <v>163</v>
      </c>
      <c r="C26" s="30">
        <f>'Ann 1'!$C$25*100000*10%</f>
        <v>222300</v>
      </c>
      <c r="D26" s="30">
        <f>'Ann 1'!$C$25*100000*10%</f>
        <v>222300</v>
      </c>
      <c r="E26" s="30">
        <f>'Ann 1'!$C$25*100000*10%</f>
        <v>222300</v>
      </c>
      <c r="F26" s="30">
        <f>'Ann 1'!$C$25*100000*10%</f>
        <v>222300</v>
      </c>
      <c r="G26" s="30">
        <f>'Ann 1'!$C$25*100000*10%</f>
        <v>222300</v>
      </c>
      <c r="H26" s="30">
        <f>'Ann 1'!$C$25*100000*10%</f>
        <v>222300</v>
      </c>
      <c r="I26" s="30">
        <f>'Ann 1'!$C$25*100000*10%</f>
        <v>222300</v>
      </c>
      <c r="J26" s="30">
        <f>'Ann 1'!$C$25*100000*10%</f>
        <v>222300</v>
      </c>
      <c r="K26" s="30">
        <f>'Ann 1'!$C$25*100000*10%</f>
        <v>222300</v>
      </c>
    </row>
    <row r="27" spans="1:11" x14ac:dyDescent="0.35">
      <c r="A27" s="12"/>
      <c r="B27" s="41" t="s">
        <v>289</v>
      </c>
      <c r="C27" s="30">
        <f>SUM(C25:C26)</f>
        <v>592923</v>
      </c>
      <c r="D27" s="30">
        <f t="shared" ref="D27:K27" si="10">SUM(D25:D26)</f>
        <v>546162</v>
      </c>
      <c r="E27" s="30">
        <f t="shared" si="10"/>
        <v>488609.99999999994</v>
      </c>
      <c r="F27" s="30">
        <f t="shared" si="10"/>
        <v>431057.99999999977</v>
      </c>
      <c r="G27" s="30">
        <f t="shared" si="10"/>
        <v>373505.99999999977</v>
      </c>
      <c r="H27" s="30">
        <f t="shared" si="10"/>
        <v>315953.99999999977</v>
      </c>
      <c r="I27" s="30">
        <f t="shared" si="10"/>
        <v>258401.99999999983</v>
      </c>
      <c r="J27" s="30">
        <f t="shared" si="10"/>
        <v>222300</v>
      </c>
      <c r="K27" s="30">
        <f t="shared" si="10"/>
        <v>222300</v>
      </c>
    </row>
    <row r="28" spans="1:11" x14ac:dyDescent="0.35">
      <c r="A28" s="12"/>
      <c r="B28" s="12"/>
      <c r="C28" s="30"/>
      <c r="D28" s="30"/>
      <c r="E28" s="30"/>
      <c r="F28" s="30"/>
      <c r="G28" s="30"/>
      <c r="H28" s="30"/>
      <c r="I28" s="30"/>
      <c r="J28" s="30"/>
      <c r="K28" s="30"/>
    </row>
    <row r="29" spans="1:11" x14ac:dyDescent="0.35">
      <c r="A29" s="12"/>
      <c r="B29" s="12" t="s">
        <v>100</v>
      </c>
      <c r="C29" s="30">
        <f t="shared" ref="C29:K29" si="11">C22-C27</f>
        <v>52467</v>
      </c>
      <c r="D29" s="30">
        <f t="shared" si="11"/>
        <v>1747976.7857142836</v>
      </c>
      <c r="E29" s="30">
        <f t="shared" si="11"/>
        <v>2012951.7964285687</v>
      </c>
      <c r="F29" s="30">
        <f t="shared" si="11"/>
        <v>2272754.7433928475</v>
      </c>
      <c r="G29" s="30">
        <f t="shared" si="11"/>
        <v>2527127.0234196335</v>
      </c>
      <c r="H29" s="30">
        <f t="shared" si="11"/>
        <v>1977797.1031620505</v>
      </c>
      <c r="I29" s="30">
        <f t="shared" si="11"/>
        <v>2178479.8726058751</v>
      </c>
      <c r="J29" s="30">
        <f t="shared" si="11"/>
        <v>2116064.0715375096</v>
      </c>
      <c r="K29" s="30">
        <f t="shared" si="11"/>
        <v>2012620.3804157153</v>
      </c>
    </row>
    <row r="30" spans="1:11" x14ac:dyDescent="0.35">
      <c r="A30" s="12"/>
      <c r="B30" s="12" t="s">
        <v>174</v>
      </c>
      <c r="C30" s="30">
        <f>'Ann 1'!C34*100000</f>
        <v>200000</v>
      </c>
      <c r="D30" s="30">
        <v>0</v>
      </c>
      <c r="E30" s="30">
        <v>0</v>
      </c>
      <c r="F30" s="30">
        <v>0</v>
      </c>
      <c r="G30" s="30">
        <v>0</v>
      </c>
      <c r="H30" s="30">
        <v>0</v>
      </c>
      <c r="I30" s="30">
        <v>0</v>
      </c>
      <c r="J30" s="30">
        <v>0</v>
      </c>
      <c r="K30" s="30">
        <v>0</v>
      </c>
    </row>
    <row r="31" spans="1:11" x14ac:dyDescent="0.35">
      <c r="A31" s="12"/>
      <c r="B31" s="41" t="s">
        <v>101</v>
      </c>
      <c r="C31" s="30">
        <f>'Ann 9'!C12+'Ann 9'!D12+'Ann 9'!E12</f>
        <v>734475</v>
      </c>
      <c r="D31" s="30">
        <f>'Ann 9'!C13+'Ann 9'!D13+'Ann 9'!E13</f>
        <v>644261.25</v>
      </c>
      <c r="E31" s="30">
        <f>'Ann 9'!C14+'Ann 9'!D14+'Ann 9'!E14</f>
        <v>565583.8125</v>
      </c>
      <c r="F31" s="30">
        <f>'Ann 9'!C15+'Ann 9'!D15+'Ann 9'!E15</f>
        <v>496911.81562499993</v>
      </c>
      <c r="G31" s="30">
        <f>'Ann 9'!C16+'Ann 9'!D16+'Ann 9'!E16</f>
        <v>436924.06078125001</v>
      </c>
      <c r="H31" s="30">
        <f>'Ann 9'!C17+'Ann 9'!D17+'Ann 9'!E17</f>
        <v>384479.56741406251</v>
      </c>
      <c r="I31" s="30">
        <f>'Ann 9'!C18+'Ann 9'!D18+'Ann 9'!E18</f>
        <v>338592.33647695312</v>
      </c>
      <c r="J31" s="30">
        <f>'Ann 9'!C19+'Ann 9'!D19+'Ann 9'!E19</f>
        <v>298409.71976291022</v>
      </c>
      <c r="K31" s="30">
        <f>'Ann 9'!C20+'Ann 9'!D20+'Ann 9'!E20</f>
        <v>263193.87218022364</v>
      </c>
    </row>
    <row r="32" spans="1:11" x14ac:dyDescent="0.35">
      <c r="A32" s="12"/>
      <c r="B32" s="41" t="s">
        <v>102</v>
      </c>
      <c r="C32" s="30">
        <f>C29-C30-C31</f>
        <v>-882008</v>
      </c>
      <c r="D32" s="30">
        <f t="shared" ref="D32:K32" si="12">D29-D30-D31</f>
        <v>1103715.5357142836</v>
      </c>
      <c r="E32" s="30">
        <f t="shared" si="12"/>
        <v>1447367.9839285687</v>
      </c>
      <c r="F32" s="30">
        <f t="shared" si="12"/>
        <v>1775842.9277678477</v>
      </c>
      <c r="G32" s="30">
        <f t="shared" si="12"/>
        <v>2090202.9626383835</v>
      </c>
      <c r="H32" s="30">
        <f t="shared" si="12"/>
        <v>1593317.5357479879</v>
      </c>
      <c r="I32" s="30">
        <f t="shared" si="12"/>
        <v>1839887.5361289219</v>
      </c>
      <c r="J32" s="30">
        <f t="shared" si="12"/>
        <v>1817654.3517745994</v>
      </c>
      <c r="K32" s="30">
        <f t="shared" si="12"/>
        <v>1749426.5082354916</v>
      </c>
    </row>
    <row r="33" spans="1:11" x14ac:dyDescent="0.35">
      <c r="A33" s="12"/>
      <c r="B33" s="41" t="s">
        <v>331</v>
      </c>
      <c r="C33" s="30">
        <f>'Ann 10'!B14</f>
        <v>-204602.4</v>
      </c>
      <c r="D33" s="30">
        <f>'Ann 10'!C14</f>
        <v>331114.66071428504</v>
      </c>
      <c r="E33" s="30">
        <f>'Ann 10'!D14</f>
        <v>434210.39517857059</v>
      </c>
      <c r="F33" s="30">
        <f>'Ann 10'!E14</f>
        <v>532752.87833035423</v>
      </c>
      <c r="G33" s="30">
        <f>'Ann 10'!F14</f>
        <v>627060.88879151503</v>
      </c>
      <c r="H33" s="30">
        <f>'Ann 10'!G14</f>
        <v>477995.26072439633</v>
      </c>
      <c r="I33" s="30">
        <f>'Ann 10'!H14</f>
        <v>551966.26083867659</v>
      </c>
      <c r="J33" s="30">
        <f>'Ann 10'!I14</f>
        <v>545296.30553237977</v>
      </c>
      <c r="K33" s="30">
        <f>'Ann 10'!J14</f>
        <v>524827.9524706474</v>
      </c>
    </row>
    <row r="34" spans="1:11" x14ac:dyDescent="0.35">
      <c r="A34" s="12"/>
      <c r="B34" s="41" t="s">
        <v>103</v>
      </c>
      <c r="C34" s="30">
        <f>C32-C33</f>
        <v>-677405.6</v>
      </c>
      <c r="D34" s="30">
        <f>D32-D33</f>
        <v>772600.8749999986</v>
      </c>
      <c r="E34" s="30">
        <f t="shared" ref="E34:K34" si="13">E32-E33</f>
        <v>1013157.588749998</v>
      </c>
      <c r="F34" s="30">
        <f t="shared" si="13"/>
        <v>1243090.0494374936</v>
      </c>
      <c r="G34" s="30">
        <f t="shared" si="13"/>
        <v>1463142.0738468685</v>
      </c>
      <c r="H34" s="30">
        <f t="shared" si="13"/>
        <v>1115322.2750235917</v>
      </c>
      <c r="I34" s="30">
        <f t="shared" si="13"/>
        <v>1287921.2752902452</v>
      </c>
      <c r="J34" s="30">
        <f t="shared" si="13"/>
        <v>1272358.0462422196</v>
      </c>
      <c r="K34" s="30">
        <f t="shared" si="13"/>
        <v>1224598.5557648442</v>
      </c>
    </row>
    <row r="35" spans="1:11" x14ac:dyDescent="0.35">
      <c r="A35" s="12"/>
      <c r="B35" s="41" t="s">
        <v>332</v>
      </c>
      <c r="C35" s="30">
        <v>0</v>
      </c>
      <c r="D35" s="30">
        <f>D34*40%</f>
        <v>309040.34999999945</v>
      </c>
      <c r="E35" s="30">
        <f t="shared" ref="E35:K35" si="14">E34*40%</f>
        <v>405263.03549999924</v>
      </c>
      <c r="F35" s="30">
        <f t="shared" si="14"/>
        <v>497236.01977499743</v>
      </c>
      <c r="G35" s="30">
        <f t="shared" si="14"/>
        <v>585256.82953874744</v>
      </c>
      <c r="H35" s="30">
        <f t="shared" si="14"/>
        <v>446128.91000943672</v>
      </c>
      <c r="I35" s="30">
        <f t="shared" si="14"/>
        <v>515168.5101160981</v>
      </c>
      <c r="J35" s="30">
        <f t="shared" si="14"/>
        <v>508943.21849688789</v>
      </c>
      <c r="K35" s="30">
        <f t="shared" si="14"/>
        <v>489839.42230593768</v>
      </c>
    </row>
    <row r="36" spans="1:11" x14ac:dyDescent="0.35">
      <c r="A36" s="12"/>
      <c r="B36" s="41" t="s">
        <v>113</v>
      </c>
      <c r="C36" s="30">
        <f>C34-C35</f>
        <v>-677405.6</v>
      </c>
      <c r="D36" s="30">
        <f t="shared" ref="D36:K36" si="15">D34-D35</f>
        <v>463560.52499999915</v>
      </c>
      <c r="E36" s="30">
        <f t="shared" si="15"/>
        <v>607894.55324999872</v>
      </c>
      <c r="F36" s="30">
        <f t="shared" si="15"/>
        <v>745854.02966249618</v>
      </c>
      <c r="G36" s="30">
        <f t="shared" si="15"/>
        <v>877885.24430812104</v>
      </c>
      <c r="H36" s="30">
        <f t="shared" si="15"/>
        <v>669193.36501415493</v>
      </c>
      <c r="I36" s="30">
        <f t="shared" si="15"/>
        <v>772752.76517414709</v>
      </c>
      <c r="J36" s="30">
        <f t="shared" si="15"/>
        <v>763414.82774533168</v>
      </c>
      <c r="K36" s="30">
        <f t="shared" si="15"/>
        <v>734759.13345890655</v>
      </c>
    </row>
    <row r="38" spans="1:11" x14ac:dyDescent="0.35">
      <c r="A38" t="s">
        <v>313</v>
      </c>
    </row>
    <row r="39" spans="1:11" x14ac:dyDescent="0.35">
      <c r="A39" t="s">
        <v>299</v>
      </c>
    </row>
    <row r="40" spans="1:11" x14ac:dyDescent="0.35">
      <c r="B40" t="s">
        <v>170</v>
      </c>
      <c r="C40">
        <v>50000</v>
      </c>
      <c r="D40">
        <f>C40*1.05</f>
        <v>52500</v>
      </c>
      <c r="E40">
        <f t="shared" ref="E40:I40" si="16">D40*1.05</f>
        <v>55125</v>
      </c>
      <c r="F40">
        <f t="shared" si="16"/>
        <v>57881.25</v>
      </c>
      <c r="G40">
        <f t="shared" si="16"/>
        <v>60775.3125</v>
      </c>
      <c r="H40">
        <f t="shared" si="16"/>
        <v>63814.078125</v>
      </c>
      <c r="I40">
        <f t="shared" si="16"/>
        <v>67004.782031249997</v>
      </c>
      <c r="J40">
        <f>I40</f>
        <v>67004.782031249997</v>
      </c>
      <c r="K40">
        <f>J40</f>
        <v>67004.782031249997</v>
      </c>
    </row>
    <row r="41" spans="1:11" x14ac:dyDescent="0.35">
      <c r="B41" t="s">
        <v>72</v>
      </c>
      <c r="C41">
        <f>C40*10</f>
        <v>500000</v>
      </c>
      <c r="D41">
        <f>D40*10</f>
        <v>525000</v>
      </c>
      <c r="E41">
        <f t="shared" ref="E41:K41" si="17">E40*10</f>
        <v>551250</v>
      </c>
      <c r="F41">
        <f t="shared" si="17"/>
        <v>578812.5</v>
      </c>
      <c r="G41">
        <f t="shared" si="17"/>
        <v>607753.125</v>
      </c>
      <c r="H41">
        <f t="shared" si="17"/>
        <v>638140.78125</v>
      </c>
      <c r="I41">
        <f t="shared" si="17"/>
        <v>670047.8203125</v>
      </c>
      <c r="J41">
        <f t="shared" si="17"/>
        <v>670047.8203125</v>
      </c>
      <c r="K41">
        <f t="shared" si="17"/>
        <v>670047.8203125</v>
      </c>
    </row>
    <row r="42" spans="1:11" x14ac:dyDescent="0.35">
      <c r="A42" t="s">
        <v>300</v>
      </c>
    </row>
    <row r="43" spans="1:11" x14ac:dyDescent="0.35">
      <c r="A43" t="s">
        <v>309</v>
      </c>
    </row>
  </sheetData>
  <mergeCells count="1">
    <mergeCell ref="C3:K3"/>
  </mergeCells>
  <pageMargins left="0.7" right="0.7" top="0.75" bottom="0.75" header="0.3" footer="0.3"/>
  <pageSetup scale="59" fitToHeight="0" orientation="landscape" r:id="rId1"/>
  <ignoredErrors>
    <ignoredError sqref="D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31" workbookViewId="0">
      <selection activeCell="A55" sqref="A55"/>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114</v>
      </c>
    </row>
    <row r="3" spans="1:11" x14ac:dyDescent="0.35">
      <c r="A3" t="s">
        <v>115</v>
      </c>
    </row>
    <row r="5" spans="1:11" x14ac:dyDescent="0.35">
      <c r="A5" s="117" t="s">
        <v>37</v>
      </c>
      <c r="B5" s="117" t="s">
        <v>38</v>
      </c>
      <c r="C5" s="117" t="s">
        <v>48</v>
      </c>
      <c r="D5" s="117"/>
      <c r="E5" s="117"/>
      <c r="F5" s="117"/>
      <c r="G5" s="117"/>
      <c r="H5" s="117"/>
      <c r="I5" s="117"/>
      <c r="J5" s="117"/>
      <c r="K5" s="117"/>
    </row>
    <row r="6" spans="1:11" x14ac:dyDescent="0.35">
      <c r="A6" s="117"/>
      <c r="B6" s="117"/>
      <c r="C6" s="34" t="s">
        <v>39</v>
      </c>
      <c r="D6" s="34" t="s">
        <v>40</v>
      </c>
      <c r="E6" s="34" t="s">
        <v>41</v>
      </c>
      <c r="F6" s="34" t="s">
        <v>42</v>
      </c>
      <c r="G6" s="34" t="s">
        <v>43</v>
      </c>
      <c r="H6" s="34" t="s">
        <v>44</v>
      </c>
      <c r="I6" s="34" t="s">
        <v>45</v>
      </c>
      <c r="J6" s="34" t="s">
        <v>46</v>
      </c>
      <c r="K6" s="34" t="s">
        <v>47</v>
      </c>
    </row>
    <row r="7" spans="1:11" x14ac:dyDescent="0.35">
      <c r="A7" s="43" t="s">
        <v>148</v>
      </c>
      <c r="B7" s="44" t="s">
        <v>116</v>
      </c>
      <c r="C7" s="55"/>
      <c r="D7" s="55"/>
      <c r="E7" s="46"/>
      <c r="F7" s="46"/>
      <c r="G7" s="46"/>
      <c r="H7" s="46"/>
      <c r="I7" s="46"/>
      <c r="J7" s="46"/>
      <c r="K7" s="46"/>
    </row>
    <row r="8" spans="1:11" x14ac:dyDescent="0.35">
      <c r="A8" s="14">
        <v>1</v>
      </c>
      <c r="B8" s="5" t="s">
        <v>117</v>
      </c>
      <c r="C8" s="9"/>
      <c r="D8" s="9"/>
      <c r="E8" s="6"/>
      <c r="F8" s="6"/>
      <c r="G8" s="6"/>
      <c r="H8" s="6"/>
      <c r="I8" s="6"/>
      <c r="J8" s="6"/>
      <c r="K8" s="6"/>
    </row>
    <row r="9" spans="1:11" x14ac:dyDescent="0.35">
      <c r="A9" s="14"/>
      <c r="B9" s="5" t="s">
        <v>118</v>
      </c>
      <c r="C9" s="56">
        <f>('Ann 9'!F9*100000)+('Ann 1'!C8*100000)</f>
        <v>6977000</v>
      </c>
      <c r="D9" s="58">
        <f>C11</f>
        <v>6242525</v>
      </c>
      <c r="E9" s="27">
        <f t="shared" ref="E9:K9" si="0">D11</f>
        <v>5598263.75</v>
      </c>
      <c r="F9" s="27">
        <f t="shared" si="0"/>
        <v>5032679.9375</v>
      </c>
      <c r="G9" s="27">
        <f t="shared" si="0"/>
        <v>4535768.1218750002</v>
      </c>
      <c r="H9" s="27">
        <f t="shared" si="0"/>
        <v>4098844.0610937504</v>
      </c>
      <c r="I9" s="27">
        <f t="shared" si="0"/>
        <v>3714364.4936796878</v>
      </c>
      <c r="J9" s="27">
        <f t="shared" si="0"/>
        <v>3375772.1572027346</v>
      </c>
      <c r="K9" s="27">
        <f t="shared" si="0"/>
        <v>3077362.4374398245</v>
      </c>
    </row>
    <row r="10" spans="1:11" x14ac:dyDescent="0.35">
      <c r="A10" s="14"/>
      <c r="B10" s="5" t="s">
        <v>119</v>
      </c>
      <c r="C10" s="56">
        <f>'Ann 9'!C12+'Ann 9'!D12+'Ann 9'!E12</f>
        <v>734475</v>
      </c>
      <c r="D10" s="58">
        <f>'Ann 9'!C13+'Ann 9'!D13+'Ann 9'!E13</f>
        <v>644261.25</v>
      </c>
      <c r="E10" s="27">
        <f>'Ann 9'!C14+'Ann 9'!D14+'Ann 9'!E14</f>
        <v>565583.8125</v>
      </c>
      <c r="F10" s="27">
        <f>'Ann 9'!C15+'Ann 9'!D15+'Ann 9'!E15</f>
        <v>496911.81562499993</v>
      </c>
      <c r="G10" s="27">
        <f>'Ann 9'!C16+'Ann 9'!D16+'Ann 9'!E16</f>
        <v>436924.06078125001</v>
      </c>
      <c r="H10" s="27">
        <f>'Ann 9'!C17+'Ann 9'!D17+'Ann 9'!E17</f>
        <v>384479.56741406251</v>
      </c>
      <c r="I10" s="27">
        <f>+'Ann 9'!C18+'Ann 9'!D18+'Ann 9'!E18</f>
        <v>338592.33647695312</v>
      </c>
      <c r="J10" s="27">
        <f>'Ann 9'!C19+'Ann 9'!D19+'Ann 9'!E19</f>
        <v>298409.71976291022</v>
      </c>
      <c r="K10" s="27">
        <f>+'Ann 9'!C20+'Ann 9'!D20+'Ann 9'!E20</f>
        <v>263193.87218022364</v>
      </c>
    </row>
    <row r="11" spans="1:11" x14ac:dyDescent="0.35">
      <c r="A11" s="14"/>
      <c r="B11" s="5" t="s">
        <v>120</v>
      </c>
      <c r="C11" s="56">
        <f>C9-C10</f>
        <v>6242525</v>
      </c>
      <c r="D11" s="58">
        <f>D9-D10</f>
        <v>5598263.75</v>
      </c>
      <c r="E11" s="27">
        <f t="shared" ref="E11:K11" si="1">E9-E10</f>
        <v>5032679.9375</v>
      </c>
      <c r="F11" s="27">
        <f t="shared" si="1"/>
        <v>4535768.1218750002</v>
      </c>
      <c r="G11" s="27">
        <f t="shared" si="1"/>
        <v>4098844.0610937504</v>
      </c>
      <c r="H11" s="27">
        <f t="shared" si="1"/>
        <v>3714364.4936796878</v>
      </c>
      <c r="I11" s="27">
        <f t="shared" si="1"/>
        <v>3375772.1572027346</v>
      </c>
      <c r="J11" s="27">
        <f t="shared" si="1"/>
        <v>3077362.4374398245</v>
      </c>
      <c r="K11" s="27">
        <f t="shared" si="1"/>
        <v>2814168.565259601</v>
      </c>
    </row>
    <row r="12" spans="1:11" x14ac:dyDescent="0.35">
      <c r="A12" s="14">
        <v>2</v>
      </c>
      <c r="B12" s="5" t="s">
        <v>121</v>
      </c>
      <c r="C12" s="56">
        <f>'Ann 4'!C21*30/360</f>
        <v>3242750</v>
      </c>
      <c r="D12" s="56">
        <f>'Ann 4'!D21*30/360</f>
        <v>3616875</v>
      </c>
      <c r="E12" s="56">
        <f>'Ann 4'!E21*30/360</f>
        <v>3858000</v>
      </c>
      <c r="F12" s="56">
        <f>'Ann 4'!F21*30/360</f>
        <v>4099125</v>
      </c>
      <c r="G12" s="56">
        <f>'Ann 4'!G21*30/360</f>
        <v>4340250</v>
      </c>
      <c r="H12" s="56">
        <f>'Ann 4'!H21*30/360</f>
        <v>4581375</v>
      </c>
      <c r="I12" s="56">
        <f>'Ann 4'!I21*30/360</f>
        <v>4822500</v>
      </c>
      <c r="J12" s="56">
        <f>'Ann 4'!J21*30/360</f>
        <v>4822500</v>
      </c>
      <c r="K12" s="56">
        <f>'Ann 4'!K21*30/360</f>
        <v>4822500</v>
      </c>
    </row>
    <row r="13" spans="1:11" x14ac:dyDescent="0.35">
      <c r="A13" s="14">
        <v>3</v>
      </c>
      <c r="B13" s="59" t="s">
        <v>284</v>
      </c>
      <c r="C13" s="56">
        <f>'Ann 4'!C13</f>
        <v>294000</v>
      </c>
      <c r="D13" s="56">
        <f>'Ann 4'!D13</f>
        <v>609000</v>
      </c>
      <c r="E13" s="56">
        <f>'Ann 4'!E13</f>
        <v>945000</v>
      </c>
      <c r="F13" s="56">
        <f>'Ann 4'!F13</f>
        <v>1302000</v>
      </c>
      <c r="G13" s="56">
        <f>'Ann 4'!G13</f>
        <v>1680000</v>
      </c>
      <c r="H13" s="56">
        <f>'Ann 4'!H13</f>
        <v>1281000</v>
      </c>
      <c r="I13" s="56">
        <f>'Ann 4'!I13</f>
        <v>861000</v>
      </c>
      <c r="J13" s="56">
        <f>'Ann 4'!J13</f>
        <v>441000</v>
      </c>
      <c r="K13" s="56">
        <f>'Ann 4'!K13</f>
        <v>21000</v>
      </c>
    </row>
    <row r="14" spans="1:11" x14ac:dyDescent="0.35">
      <c r="A14" s="14">
        <v>4</v>
      </c>
      <c r="B14" s="5" t="s">
        <v>122</v>
      </c>
      <c r="C14" s="57">
        <f>'Ann 14'!C21</f>
        <v>1487994.4</v>
      </c>
      <c r="D14" s="57">
        <f>'Ann 14'!D21</f>
        <v>1177760.8178571393</v>
      </c>
      <c r="E14" s="57">
        <f>'Ann 14'!E21</f>
        <v>1031883.8264642796</v>
      </c>
      <c r="F14" s="57">
        <f>'Ann 14'!F21</f>
        <v>934294.31460891827</v>
      </c>
      <c r="G14" s="57">
        <f>'Ann 14'!G21</f>
        <v>887748.26255543693</v>
      </c>
      <c r="H14" s="57">
        <f>'Ann 14'!H21</f>
        <v>1357065.8378407941</v>
      </c>
      <c r="I14" s="57">
        <f>'Ann 14'!I21</f>
        <v>1902855.582349041</v>
      </c>
      <c r="J14" s="57">
        <f>'Ann 14'!J21</f>
        <v>3384680.1298572812</v>
      </c>
      <c r="K14" s="57">
        <f>'Ann 14'!K21</f>
        <v>4802633.1354964096</v>
      </c>
    </row>
    <row r="15" spans="1:11" x14ac:dyDescent="0.35">
      <c r="A15" s="14"/>
      <c r="B15" s="5" t="s">
        <v>130</v>
      </c>
      <c r="C15" s="56">
        <f t="shared" ref="C15:K15" si="2">SUM(C11:C14)</f>
        <v>11267269.4</v>
      </c>
      <c r="D15" s="56">
        <f t="shared" si="2"/>
        <v>11001899.567857139</v>
      </c>
      <c r="E15" s="47">
        <f t="shared" si="2"/>
        <v>10867563.76396428</v>
      </c>
      <c r="F15" s="47">
        <f t="shared" si="2"/>
        <v>10871187.436483918</v>
      </c>
      <c r="G15" s="47">
        <f t="shared" si="2"/>
        <v>11006842.323649189</v>
      </c>
      <c r="H15" s="47">
        <f t="shared" si="2"/>
        <v>10933805.331520481</v>
      </c>
      <c r="I15" s="47">
        <f t="shared" si="2"/>
        <v>10962127.739551777</v>
      </c>
      <c r="J15" s="47">
        <f t="shared" si="2"/>
        <v>11725542.567297105</v>
      </c>
      <c r="K15" s="47">
        <f t="shared" si="2"/>
        <v>12460301.70075601</v>
      </c>
    </row>
    <row r="16" spans="1:11" x14ac:dyDescent="0.35">
      <c r="A16" s="14"/>
      <c r="B16" s="5"/>
      <c r="C16" s="56"/>
      <c r="D16" s="56"/>
      <c r="E16" s="47"/>
      <c r="F16" s="47"/>
      <c r="G16" s="47"/>
      <c r="H16" s="47"/>
      <c r="I16" s="47"/>
      <c r="J16" s="47"/>
      <c r="K16" s="47"/>
    </row>
    <row r="17" spans="1:13" x14ac:dyDescent="0.35">
      <c r="A17" s="14" t="s">
        <v>149</v>
      </c>
      <c r="B17" s="48" t="s">
        <v>123</v>
      </c>
      <c r="C17" s="9"/>
      <c r="D17" s="9"/>
      <c r="E17" s="6"/>
      <c r="F17" s="6"/>
      <c r="G17" s="6"/>
      <c r="H17" s="6"/>
      <c r="I17" s="6"/>
      <c r="J17" s="6"/>
      <c r="K17" s="6"/>
    </row>
    <row r="18" spans="1:13" x14ac:dyDescent="0.35">
      <c r="A18" s="14">
        <v>1</v>
      </c>
      <c r="B18" s="5" t="s">
        <v>124</v>
      </c>
      <c r="C18" s="57">
        <f>'Ann 2'!C4*100000</f>
        <v>940000.00000000023</v>
      </c>
      <c r="D18" s="57">
        <f>C21</f>
        <v>262594.40000000026</v>
      </c>
      <c r="E18" s="18">
        <f t="shared" ref="E18:K18" si="3">D21</f>
        <v>726154.92499999935</v>
      </c>
      <c r="F18" s="18">
        <f t="shared" si="3"/>
        <v>1334049.4782499981</v>
      </c>
      <c r="G18" s="18">
        <f t="shared" si="3"/>
        <v>2079903.5079124942</v>
      </c>
      <c r="H18" s="18">
        <f t="shared" si="3"/>
        <v>2957788.7522206153</v>
      </c>
      <c r="I18" s="18">
        <f t="shared" si="3"/>
        <v>3626982.1172347702</v>
      </c>
      <c r="J18" s="18">
        <f t="shared" si="3"/>
        <v>4399734.882408917</v>
      </c>
      <c r="K18" s="18">
        <f t="shared" si="3"/>
        <v>5163149.7101542484</v>
      </c>
    </row>
    <row r="19" spans="1:13" x14ac:dyDescent="0.35">
      <c r="A19" s="14"/>
      <c r="B19" s="5" t="s">
        <v>125</v>
      </c>
      <c r="C19" s="57">
        <f>'Ann 4'!C36</f>
        <v>-677405.6</v>
      </c>
      <c r="D19" s="57">
        <f>'Ann 4'!D36</f>
        <v>463560.52499999915</v>
      </c>
      <c r="E19" s="18">
        <f>'Ann 4'!E36</f>
        <v>607894.55324999872</v>
      </c>
      <c r="F19" s="18">
        <f>'Ann 4'!F36</f>
        <v>745854.02966249618</v>
      </c>
      <c r="G19" s="18">
        <f>'Ann 4'!G36</f>
        <v>877885.24430812104</v>
      </c>
      <c r="H19" s="18">
        <f>'Ann 4'!H36</f>
        <v>669193.36501415493</v>
      </c>
      <c r="I19" s="18">
        <f>'Ann 4'!I36</f>
        <v>772752.76517414709</v>
      </c>
      <c r="J19" s="18">
        <f>'Ann 4'!J36</f>
        <v>763414.82774533168</v>
      </c>
      <c r="K19" s="18">
        <f>'Ann 4'!K36</f>
        <v>734759.13345890655</v>
      </c>
    </row>
    <row r="20" spans="1:13" x14ac:dyDescent="0.35">
      <c r="A20" s="14"/>
      <c r="B20" s="5" t="s">
        <v>126</v>
      </c>
      <c r="C20" s="57">
        <v>0</v>
      </c>
      <c r="D20" s="57">
        <v>0</v>
      </c>
      <c r="E20" s="18">
        <v>0</v>
      </c>
      <c r="F20" s="18">
        <v>0</v>
      </c>
      <c r="G20" s="18">
        <v>0</v>
      </c>
      <c r="H20" s="18">
        <v>0</v>
      </c>
      <c r="I20" s="18">
        <v>0</v>
      </c>
      <c r="J20" s="18">
        <v>0</v>
      </c>
      <c r="K20" s="18">
        <v>0</v>
      </c>
    </row>
    <row r="21" spans="1:13" x14ac:dyDescent="0.35">
      <c r="A21" s="14"/>
      <c r="B21" s="5" t="s">
        <v>127</v>
      </c>
      <c r="C21" s="57">
        <f>C18+C19</f>
        <v>262594.40000000026</v>
      </c>
      <c r="D21" s="57">
        <f t="shared" ref="D21:K21" si="4">D18+D19</f>
        <v>726154.92499999935</v>
      </c>
      <c r="E21" s="18">
        <f t="shared" si="4"/>
        <v>1334049.4782499981</v>
      </c>
      <c r="F21" s="18">
        <f t="shared" si="4"/>
        <v>2079903.5079124942</v>
      </c>
      <c r="G21" s="18">
        <f t="shared" si="4"/>
        <v>2957788.7522206153</v>
      </c>
      <c r="H21" s="18">
        <f t="shared" si="4"/>
        <v>3626982.1172347702</v>
      </c>
      <c r="I21" s="18">
        <f t="shared" si="4"/>
        <v>4399734.882408917</v>
      </c>
      <c r="J21" s="18">
        <f t="shared" si="4"/>
        <v>5163149.7101542484</v>
      </c>
      <c r="K21" s="18">
        <f t="shared" si="4"/>
        <v>5897908.8436131552</v>
      </c>
    </row>
    <row r="22" spans="1:13" x14ac:dyDescent="0.35">
      <c r="A22" s="14">
        <v>2</v>
      </c>
      <c r="B22" s="5" t="s">
        <v>128</v>
      </c>
      <c r="C22" s="57">
        <f>'Ann 13'!C13*100000</f>
        <v>5757400</v>
      </c>
      <c r="D22" s="57">
        <f>'Ann 13'!C17*100000</f>
        <v>4798199.9999999981</v>
      </c>
      <c r="E22" s="57">
        <f>'Ann 13'!C21*100000</f>
        <v>3838999.9999999972</v>
      </c>
      <c r="F22" s="57">
        <f>'Ann 13'!C25*100000</f>
        <v>2879799.9999999967</v>
      </c>
      <c r="G22" s="18">
        <f>('Ann 13'!C28-'Ann 13'!D28)*100000</f>
        <v>1920599.9999999967</v>
      </c>
      <c r="H22" s="18">
        <f>('Ann 13'!C32-'Ann 13'!D32)*100000</f>
        <v>961399.99999999686</v>
      </c>
      <c r="I22" s="18">
        <v>0</v>
      </c>
      <c r="J22" s="18">
        <v>0</v>
      </c>
      <c r="K22" s="18">
        <v>0</v>
      </c>
    </row>
    <row r="23" spans="1:13" x14ac:dyDescent="0.35">
      <c r="A23" s="14">
        <v>3</v>
      </c>
      <c r="B23" s="59" t="s">
        <v>162</v>
      </c>
      <c r="C23" s="57">
        <f>'Ann 2'!$C$7*100000</f>
        <v>2223000</v>
      </c>
      <c r="D23" s="57">
        <f>'Ann 2'!$C$7*100000</f>
        <v>2223000</v>
      </c>
      <c r="E23" s="57">
        <f>'Ann 2'!$C$7*100000</f>
        <v>2223000</v>
      </c>
      <c r="F23" s="57">
        <f>'Ann 2'!$C$7*100000</f>
        <v>2223000</v>
      </c>
      <c r="G23" s="57">
        <f>'Ann 2'!$C$7*100000</f>
        <v>2223000</v>
      </c>
      <c r="H23" s="57">
        <f>'Ann 2'!$C$7*100000</f>
        <v>2223000</v>
      </c>
      <c r="I23" s="57">
        <f>'Ann 2'!$C$7*100000</f>
        <v>2223000</v>
      </c>
      <c r="J23" s="57">
        <f>'Ann 2'!$C$7*100000</f>
        <v>2223000</v>
      </c>
      <c r="K23" s="57">
        <f>'Ann 2'!$C$7*100000</f>
        <v>2223000</v>
      </c>
    </row>
    <row r="24" spans="1:13" x14ac:dyDescent="0.35">
      <c r="A24" s="14">
        <v>4</v>
      </c>
      <c r="B24" s="59" t="s">
        <v>157</v>
      </c>
      <c r="C24" s="57">
        <f>('Ann 4'!C10+'Ann 4'!C7)*30/360</f>
        <v>3024275</v>
      </c>
      <c r="D24" s="57">
        <f>('Ann 4'!D10+'Ann 4'!D7)*30/360</f>
        <v>3254544.6428571427</v>
      </c>
      <c r="E24" s="57">
        <f>('Ann 4'!E10+'Ann 4'!E7)*30/360</f>
        <v>3471514.2857142859</v>
      </c>
      <c r="F24" s="57">
        <f>('Ann 4'!F10+'Ann 4'!F7)*30/360</f>
        <v>3688483.9285714286</v>
      </c>
      <c r="G24" s="57">
        <f>('Ann 4'!G10+'Ann 4'!G7)*30/360</f>
        <v>3905453.5714285718</v>
      </c>
      <c r="H24" s="57">
        <f>('Ann 4'!H10+'Ann 4'!H7)*30/360</f>
        <v>4122423.2142857146</v>
      </c>
      <c r="I24" s="57">
        <f>('Ann 4'!I10+'Ann 4'!I7)*30/360</f>
        <v>4339392.8571428573</v>
      </c>
      <c r="J24" s="57">
        <f>('Ann 4'!J10+'Ann 4'!J7)*30/360</f>
        <v>4339392.8571428573</v>
      </c>
      <c r="K24" s="57">
        <f>('Ann 4'!K10+'Ann 4'!K7)*30/360</f>
        <v>4339392.8571428573</v>
      </c>
    </row>
    <row r="25" spans="1:13" x14ac:dyDescent="0.35">
      <c r="A25" s="14"/>
      <c r="B25" s="5" t="s">
        <v>129</v>
      </c>
      <c r="C25" s="56">
        <f t="shared" ref="C25:K25" si="5">SUM(C21:C24)</f>
        <v>11267269.4</v>
      </c>
      <c r="D25" s="56">
        <f t="shared" si="5"/>
        <v>11001899.567857139</v>
      </c>
      <c r="E25" s="56">
        <f t="shared" si="5"/>
        <v>10867563.76396428</v>
      </c>
      <c r="F25" s="56">
        <f t="shared" si="5"/>
        <v>10871187.43648392</v>
      </c>
      <c r="G25" s="56">
        <f t="shared" si="5"/>
        <v>11006842.323649183</v>
      </c>
      <c r="H25" s="56">
        <f t="shared" si="5"/>
        <v>10933805.331520483</v>
      </c>
      <c r="I25" s="56">
        <f t="shared" si="5"/>
        <v>10962127.739551775</v>
      </c>
      <c r="J25" s="56">
        <f t="shared" si="5"/>
        <v>11725542.567297105</v>
      </c>
      <c r="K25" s="56">
        <f t="shared" si="5"/>
        <v>12460301.700756013</v>
      </c>
    </row>
    <row r="26" spans="1:13" x14ac:dyDescent="0.35">
      <c r="A26" s="14"/>
      <c r="B26" s="5"/>
      <c r="C26" s="56"/>
      <c r="D26" s="56"/>
      <c r="E26" s="56"/>
      <c r="F26" s="56"/>
      <c r="G26" s="56"/>
      <c r="H26" s="56"/>
      <c r="I26" s="56"/>
      <c r="J26" s="56"/>
      <c r="K26" s="56"/>
      <c r="L26" s="67"/>
      <c r="M26" s="5"/>
    </row>
    <row r="27" spans="1:13" x14ac:dyDescent="0.35">
      <c r="A27" s="60"/>
      <c r="B27" s="61" t="s">
        <v>131</v>
      </c>
      <c r="C27" s="62"/>
      <c r="D27" s="62"/>
      <c r="E27" s="63"/>
      <c r="F27" s="63"/>
      <c r="G27" s="63"/>
      <c r="H27" s="63"/>
      <c r="I27" s="63"/>
      <c r="J27" s="63"/>
      <c r="K27" s="63"/>
    </row>
    <row r="28" spans="1:13" x14ac:dyDescent="0.35">
      <c r="A28" s="14"/>
      <c r="B28" s="5" t="s">
        <v>132</v>
      </c>
      <c r="C28" s="56">
        <f t="shared" ref="C28:K28" si="6">SUM(C12:C14)</f>
        <v>5024744.4000000004</v>
      </c>
      <c r="D28" s="56">
        <f t="shared" si="6"/>
        <v>5403635.8178571388</v>
      </c>
      <c r="E28" s="47">
        <f t="shared" si="6"/>
        <v>5834883.8264642796</v>
      </c>
      <c r="F28" s="47">
        <f t="shared" si="6"/>
        <v>6335419.3146089185</v>
      </c>
      <c r="G28" s="47">
        <f t="shared" si="6"/>
        <v>6907998.2625554372</v>
      </c>
      <c r="H28" s="47">
        <f t="shared" si="6"/>
        <v>7219440.8378407937</v>
      </c>
      <c r="I28" s="47">
        <f t="shared" si="6"/>
        <v>7586355.5823490415</v>
      </c>
      <c r="J28" s="47">
        <f t="shared" si="6"/>
        <v>8648180.1298572812</v>
      </c>
      <c r="K28" s="47">
        <f t="shared" si="6"/>
        <v>9646133.1354964096</v>
      </c>
    </row>
    <row r="29" spans="1:13" x14ac:dyDescent="0.35">
      <c r="A29" s="14"/>
      <c r="B29" s="5" t="s">
        <v>133</v>
      </c>
      <c r="C29" s="56">
        <f>C24+C23</f>
        <v>5247275</v>
      </c>
      <c r="D29" s="56">
        <f t="shared" ref="D29:K29" si="7">D24+D23</f>
        <v>5477544.6428571427</v>
      </c>
      <c r="E29" s="56">
        <f t="shared" si="7"/>
        <v>5694514.2857142854</v>
      </c>
      <c r="F29" s="56">
        <f t="shared" si="7"/>
        <v>5911483.9285714291</v>
      </c>
      <c r="G29" s="56">
        <f t="shared" si="7"/>
        <v>6128453.5714285718</v>
      </c>
      <c r="H29" s="56">
        <f t="shared" si="7"/>
        <v>6345423.2142857146</v>
      </c>
      <c r="I29" s="56">
        <f t="shared" si="7"/>
        <v>6562392.8571428573</v>
      </c>
      <c r="J29" s="56">
        <f t="shared" si="7"/>
        <v>6562392.8571428573</v>
      </c>
      <c r="K29" s="56">
        <f t="shared" si="7"/>
        <v>6562392.8571428573</v>
      </c>
    </row>
    <row r="30" spans="1:13" x14ac:dyDescent="0.35">
      <c r="A30" s="14"/>
      <c r="B30" s="5" t="s">
        <v>137</v>
      </c>
      <c r="C30" s="9">
        <f>C28/C29</f>
        <v>0.95759120686451549</v>
      </c>
      <c r="D30" s="9">
        <f>D28/D29</f>
        <v>0.98650694246803028</v>
      </c>
      <c r="E30" s="6">
        <f t="shared" ref="E30:K30" si="8">E28/E29</f>
        <v>1.0246499584876161</v>
      </c>
      <c r="F30" s="6">
        <f t="shared" si="8"/>
        <v>1.0717138693363475</v>
      </c>
      <c r="G30" s="6">
        <f t="shared" si="8"/>
        <v>1.1272008806203861</v>
      </c>
      <c r="H30" s="6">
        <f t="shared" si="8"/>
        <v>1.1377398471369675</v>
      </c>
      <c r="I30" s="6">
        <f t="shared" si="8"/>
        <v>1.1560349627791102</v>
      </c>
      <c r="J30" s="6">
        <f t="shared" si="8"/>
        <v>1.317839440295645</v>
      </c>
      <c r="K30" s="6">
        <f t="shared" si="8"/>
        <v>1.469910952526569</v>
      </c>
    </row>
    <row r="31" spans="1:13" x14ac:dyDescent="0.35">
      <c r="A31" s="14"/>
      <c r="B31" s="59" t="s">
        <v>150</v>
      </c>
      <c r="C31" s="9"/>
      <c r="D31" s="9"/>
      <c r="E31" s="6"/>
      <c r="F31" s="6">
        <f>AVERAGE(C30:K30)</f>
        <v>1.1387986733905762</v>
      </c>
      <c r="G31" s="6"/>
      <c r="H31" s="6"/>
      <c r="I31" s="6"/>
      <c r="J31" s="6"/>
      <c r="K31" s="6"/>
    </row>
    <row r="32" spans="1:13" x14ac:dyDescent="0.35">
      <c r="A32" s="14"/>
      <c r="B32" s="5"/>
      <c r="C32" s="9"/>
      <c r="D32" s="9"/>
      <c r="E32" s="6"/>
      <c r="F32" s="6"/>
      <c r="G32" s="6"/>
      <c r="H32" s="6"/>
      <c r="I32" s="6"/>
      <c r="J32" s="6"/>
      <c r="K32" s="6"/>
    </row>
    <row r="33" spans="1:11" x14ac:dyDescent="0.35">
      <c r="A33" s="60"/>
      <c r="B33" s="61" t="s">
        <v>134</v>
      </c>
      <c r="C33" s="62"/>
      <c r="D33" s="62"/>
      <c r="E33" s="63"/>
      <c r="F33" s="63"/>
      <c r="G33" s="63"/>
      <c r="H33" s="63"/>
      <c r="I33" s="63"/>
      <c r="J33" s="63"/>
      <c r="K33" s="63"/>
    </row>
    <row r="34" spans="1:11" x14ac:dyDescent="0.35">
      <c r="A34" s="14"/>
      <c r="B34" s="5" t="s">
        <v>135</v>
      </c>
      <c r="C34" s="56">
        <f>C22+C23</f>
        <v>7980400</v>
      </c>
      <c r="D34" s="56">
        <f t="shared" ref="D34:K34" si="9">D22+D23</f>
        <v>7021199.9999999981</v>
      </c>
      <c r="E34" s="56">
        <f t="shared" si="9"/>
        <v>6061999.9999999972</v>
      </c>
      <c r="F34" s="56">
        <f t="shared" si="9"/>
        <v>5102799.9999999963</v>
      </c>
      <c r="G34" s="56">
        <f t="shared" si="9"/>
        <v>4143599.9999999967</v>
      </c>
      <c r="H34" s="56">
        <f t="shared" si="9"/>
        <v>3184399.9999999967</v>
      </c>
      <c r="I34" s="56">
        <f t="shared" si="9"/>
        <v>2223000</v>
      </c>
      <c r="J34" s="56">
        <f t="shared" si="9"/>
        <v>2223000</v>
      </c>
      <c r="K34" s="56">
        <f t="shared" si="9"/>
        <v>2223000</v>
      </c>
    </row>
    <row r="35" spans="1:11" x14ac:dyDescent="0.35">
      <c r="A35" s="14"/>
      <c r="B35" s="5" t="s">
        <v>136</v>
      </c>
      <c r="C35" s="56">
        <f t="shared" ref="C35:K35" si="10">C21</f>
        <v>262594.40000000026</v>
      </c>
      <c r="D35" s="56">
        <f t="shared" si="10"/>
        <v>726154.92499999935</v>
      </c>
      <c r="E35" s="47">
        <f t="shared" si="10"/>
        <v>1334049.4782499981</v>
      </c>
      <c r="F35" s="47">
        <f t="shared" si="10"/>
        <v>2079903.5079124942</v>
      </c>
      <c r="G35" s="47">
        <f t="shared" si="10"/>
        <v>2957788.7522206153</v>
      </c>
      <c r="H35" s="47">
        <f t="shared" si="10"/>
        <v>3626982.1172347702</v>
      </c>
      <c r="I35" s="47">
        <f t="shared" si="10"/>
        <v>4399734.882408917</v>
      </c>
      <c r="J35" s="47">
        <f t="shared" si="10"/>
        <v>5163149.7101542484</v>
      </c>
      <c r="K35" s="47">
        <f t="shared" si="10"/>
        <v>5897908.8436131552</v>
      </c>
    </row>
    <row r="36" spans="1:11" x14ac:dyDescent="0.35">
      <c r="A36" s="14"/>
      <c r="B36" s="5" t="s">
        <v>137</v>
      </c>
      <c r="C36" s="9">
        <f>C34/C35</f>
        <v>30.390594772775017</v>
      </c>
      <c r="D36" s="9">
        <f t="shared" ref="D36:K36" si="11">D34/D35</f>
        <v>9.6690110584872837</v>
      </c>
      <c r="E36" s="6">
        <f t="shared" si="11"/>
        <v>4.544059346248619</v>
      </c>
      <c r="F36" s="6">
        <f t="shared" si="11"/>
        <v>2.4533830442554749</v>
      </c>
      <c r="G36" s="6">
        <f t="shared" si="11"/>
        <v>1.4009114061608057</v>
      </c>
      <c r="H36" s="6">
        <f t="shared" si="11"/>
        <v>0.87797510356290365</v>
      </c>
      <c r="I36" s="6">
        <f t="shared" si="11"/>
        <v>0.50525771652470031</v>
      </c>
      <c r="J36" s="6">
        <f t="shared" si="11"/>
        <v>0.43055114122065391</v>
      </c>
      <c r="K36" s="6">
        <f t="shared" si="11"/>
        <v>0.37691325161922201</v>
      </c>
    </row>
    <row r="37" spans="1:11" x14ac:dyDescent="0.35">
      <c r="A37" s="14"/>
      <c r="B37" s="59" t="s">
        <v>150</v>
      </c>
      <c r="C37" s="9"/>
      <c r="D37" s="9"/>
      <c r="E37" s="6"/>
      <c r="F37" s="6">
        <f>AVERAGE(C36:K36)</f>
        <v>5.6276285378727424</v>
      </c>
      <c r="G37" s="6"/>
      <c r="H37" s="6"/>
      <c r="I37" s="47"/>
      <c r="J37" s="47"/>
      <c r="K37" s="47"/>
    </row>
    <row r="38" spans="1:11" x14ac:dyDescent="0.35">
      <c r="A38" s="14"/>
      <c r="B38" s="5"/>
      <c r="C38" s="9"/>
      <c r="D38" s="9"/>
      <c r="E38" s="6"/>
      <c r="F38" s="6"/>
      <c r="G38" s="6"/>
      <c r="H38" s="6"/>
      <c r="I38" s="47"/>
      <c r="J38" s="47"/>
      <c r="K38" s="47"/>
    </row>
    <row r="39" spans="1:11" x14ac:dyDescent="0.35">
      <c r="A39" s="60"/>
      <c r="B39" s="61" t="s">
        <v>151</v>
      </c>
      <c r="C39" s="62"/>
      <c r="D39" s="62"/>
      <c r="E39" s="63"/>
      <c r="F39" s="63"/>
      <c r="G39" s="63"/>
      <c r="H39" s="63"/>
      <c r="I39" s="64"/>
      <c r="J39" s="64"/>
      <c r="K39" s="64"/>
    </row>
    <row r="40" spans="1:11" x14ac:dyDescent="0.35">
      <c r="A40" s="14"/>
      <c r="B40" s="59" t="s">
        <v>152</v>
      </c>
      <c r="C40" s="56">
        <f t="shared" ref="C40:K40" si="12">C11</f>
        <v>6242525</v>
      </c>
      <c r="D40" s="56">
        <f t="shared" si="12"/>
        <v>5598263.75</v>
      </c>
      <c r="E40" s="56">
        <f t="shared" si="12"/>
        <v>5032679.9375</v>
      </c>
      <c r="F40" s="56">
        <f t="shared" si="12"/>
        <v>4535768.1218750002</v>
      </c>
      <c r="G40" s="56">
        <f t="shared" si="12"/>
        <v>4098844.0610937504</v>
      </c>
      <c r="H40" s="56">
        <f t="shared" si="12"/>
        <v>3714364.4936796878</v>
      </c>
      <c r="I40" s="56">
        <f t="shared" si="12"/>
        <v>3375772.1572027346</v>
      </c>
      <c r="J40" s="56">
        <f t="shared" si="12"/>
        <v>3077362.4374398245</v>
      </c>
      <c r="K40" s="56">
        <f t="shared" si="12"/>
        <v>2814168.565259601</v>
      </c>
    </row>
    <row r="41" spans="1:11" x14ac:dyDescent="0.35">
      <c r="A41" s="14"/>
      <c r="B41" s="59" t="s">
        <v>135</v>
      </c>
      <c r="C41" s="56">
        <f t="shared" ref="C41:K41" si="13">C22+C23</f>
        <v>7980400</v>
      </c>
      <c r="D41" s="56">
        <f t="shared" si="13"/>
        <v>7021199.9999999981</v>
      </c>
      <c r="E41" s="56">
        <f t="shared" si="13"/>
        <v>6061999.9999999972</v>
      </c>
      <c r="F41" s="56">
        <f t="shared" si="13"/>
        <v>5102799.9999999963</v>
      </c>
      <c r="G41" s="56">
        <f t="shared" si="13"/>
        <v>4143599.9999999967</v>
      </c>
      <c r="H41" s="56">
        <f t="shared" si="13"/>
        <v>3184399.9999999967</v>
      </c>
      <c r="I41" s="56">
        <f t="shared" si="13"/>
        <v>2223000</v>
      </c>
      <c r="J41" s="56">
        <f t="shared" si="13"/>
        <v>2223000</v>
      </c>
      <c r="K41" s="56">
        <f t="shared" si="13"/>
        <v>2223000</v>
      </c>
    </row>
    <row r="42" spans="1:11" x14ac:dyDescent="0.35">
      <c r="A42" s="14"/>
      <c r="B42" s="59" t="s">
        <v>146</v>
      </c>
      <c r="C42" s="9">
        <f>C40/C41</f>
        <v>0.78223209362939206</v>
      </c>
      <c r="D42" s="9">
        <f t="shared" ref="D42:G42" si="14">D40/D41</f>
        <v>0.79733717170854002</v>
      </c>
      <c r="E42" s="9">
        <f t="shared" si="14"/>
        <v>0.83020124340151802</v>
      </c>
      <c r="F42" s="9">
        <f t="shared" si="14"/>
        <v>0.88887828679842507</v>
      </c>
      <c r="G42" s="9">
        <f t="shared" si="14"/>
        <v>0.98919877910361853</v>
      </c>
      <c r="H42" s="56">
        <v>0</v>
      </c>
      <c r="I42" s="56">
        <v>0</v>
      </c>
      <c r="J42" s="56">
        <v>0</v>
      </c>
      <c r="K42" s="56">
        <v>0</v>
      </c>
    </row>
    <row r="43" spans="1:11" x14ac:dyDescent="0.35">
      <c r="A43" s="14"/>
      <c r="B43" s="59"/>
      <c r="C43" s="9"/>
      <c r="D43" s="9"/>
      <c r="E43" s="6"/>
      <c r="F43" s="6">
        <f>AVERAGE(C42:K42)</f>
        <v>0.47642750829349928</v>
      </c>
      <c r="G43" s="6"/>
      <c r="H43" s="6"/>
      <c r="I43" s="6"/>
      <c r="J43" s="6"/>
      <c r="K43" s="6"/>
    </row>
    <row r="44" spans="1:11" x14ac:dyDescent="0.35">
      <c r="A44" s="14"/>
      <c r="B44" s="5"/>
      <c r="C44" s="9"/>
      <c r="D44" s="9"/>
      <c r="E44" s="6"/>
      <c r="F44" s="6"/>
      <c r="G44" s="6"/>
      <c r="H44" s="6"/>
      <c r="I44" s="47"/>
      <c r="J44" s="47"/>
      <c r="K44" s="47"/>
    </row>
    <row r="45" spans="1:11" x14ac:dyDescent="0.35">
      <c r="A45" s="60"/>
      <c r="B45" s="61" t="s">
        <v>143</v>
      </c>
      <c r="C45" s="62"/>
      <c r="D45" s="62"/>
      <c r="E45" s="63"/>
      <c r="F45" s="63"/>
      <c r="G45" s="63"/>
      <c r="H45" s="63"/>
      <c r="I45" s="64"/>
      <c r="J45" s="64"/>
      <c r="K45" s="64"/>
    </row>
    <row r="46" spans="1:11" x14ac:dyDescent="0.35">
      <c r="A46" s="14"/>
      <c r="B46" s="5" t="s">
        <v>144</v>
      </c>
      <c r="C46" s="57">
        <f>'Ann 4'!C27</f>
        <v>592923</v>
      </c>
      <c r="D46" s="57">
        <f>'Ann 4'!D27</f>
        <v>546162</v>
      </c>
      <c r="E46" s="57">
        <f>'Ann 4'!E27</f>
        <v>488609.99999999994</v>
      </c>
      <c r="F46" s="57">
        <f>'Ann 4'!F27</f>
        <v>431057.99999999977</v>
      </c>
      <c r="G46" s="57">
        <f>'Ann 4'!G27</f>
        <v>373505.99999999977</v>
      </c>
      <c r="H46" s="57">
        <f>'Ann 4'!H27</f>
        <v>315953.99999999977</v>
      </c>
      <c r="I46" s="57">
        <f>'Ann 4'!I27</f>
        <v>258401.99999999983</v>
      </c>
      <c r="J46" s="57">
        <f>'Ann 4'!J27</f>
        <v>222300</v>
      </c>
      <c r="K46" s="57">
        <f>'Ann 4'!K27</f>
        <v>222300</v>
      </c>
    </row>
    <row r="47" spans="1:11" x14ac:dyDescent="0.35">
      <c r="A47" s="14"/>
      <c r="B47" s="5" t="s">
        <v>147</v>
      </c>
      <c r="C47" s="57">
        <f>(SUM('Ann 13'!D9:D12)*100000)+('Ann 1'!$C$25*100000)</f>
        <v>2702600</v>
      </c>
      <c r="D47" s="57">
        <f>(SUM('Ann 13'!D13:D16)*100000)+('Ann 1'!$C$25*100000)</f>
        <v>3182200</v>
      </c>
      <c r="E47" s="57">
        <f>(SUM('Ann 13'!D17:D20)*100000)+('Ann 1'!$C$25*100000)</f>
        <v>3182200</v>
      </c>
      <c r="F47" s="57">
        <f>(SUM('Ann 13'!D21:D24)*100000)+('Ann 1'!$C$25*100000)</f>
        <v>3182200</v>
      </c>
      <c r="G47" s="57">
        <f>(SUM('Ann 13'!D25:D28)*100000)+('Ann 1'!$C$25*100000)</f>
        <v>3182200</v>
      </c>
      <c r="H47" s="57">
        <f>(SUM('Ann 13'!D29:D32)*100000)+('Ann 1'!$C$25*100000)</f>
        <v>3182200</v>
      </c>
      <c r="I47" s="57">
        <f>(SUM('Ann 13'!D33:D36)*100000)+('Ann 1'!$C$25*100000)</f>
        <v>3184399.9999999967</v>
      </c>
      <c r="J47" s="57">
        <f>(SUM('Ann 13'!D37:D37)*100000)+('Ann 1'!$C$25*100000)</f>
        <v>2223000</v>
      </c>
      <c r="K47" s="57">
        <f>(SUM('Ann 13'!D38:D39)*100000)+('Ann 1'!$C$25*100000)</f>
        <v>2223000</v>
      </c>
    </row>
    <row r="48" spans="1:11" x14ac:dyDescent="0.35">
      <c r="A48" s="14"/>
      <c r="B48" s="5" t="s">
        <v>8</v>
      </c>
      <c r="C48" s="57">
        <f>SUM(C46:C47)</f>
        <v>3295523</v>
      </c>
      <c r="D48" s="57">
        <f t="shared" ref="D48:K48" si="15">SUM(D46:D47)</f>
        <v>3728362</v>
      </c>
      <c r="E48" s="18">
        <f t="shared" si="15"/>
        <v>3670810</v>
      </c>
      <c r="F48" s="18">
        <f t="shared" si="15"/>
        <v>3613258</v>
      </c>
      <c r="G48" s="18">
        <f t="shared" si="15"/>
        <v>3555706</v>
      </c>
      <c r="H48" s="18">
        <f t="shared" si="15"/>
        <v>3498154</v>
      </c>
      <c r="I48" s="18">
        <f t="shared" si="15"/>
        <v>3442801.9999999967</v>
      </c>
      <c r="J48" s="18">
        <f t="shared" si="15"/>
        <v>2445300</v>
      </c>
      <c r="K48" s="18">
        <f t="shared" si="15"/>
        <v>2445300</v>
      </c>
    </row>
    <row r="49" spans="1:11" x14ac:dyDescent="0.35">
      <c r="A49" s="14"/>
      <c r="B49" s="5" t="s">
        <v>145</v>
      </c>
      <c r="C49" s="57">
        <f>'Ann 4'!C22</f>
        <v>645390</v>
      </c>
      <c r="D49" s="57">
        <f>'Ann 4'!D22</f>
        <v>2294138.7857142836</v>
      </c>
      <c r="E49" s="18">
        <f>'Ann 4'!E22</f>
        <v>2501561.7964285687</v>
      </c>
      <c r="F49" s="18">
        <f>'Ann 4'!F22</f>
        <v>2703812.7433928475</v>
      </c>
      <c r="G49" s="18">
        <f>'Ann 4'!G22</f>
        <v>2900633.0234196335</v>
      </c>
      <c r="H49" s="18">
        <f>'Ann 4'!H22</f>
        <v>2293751.1031620502</v>
      </c>
      <c r="I49" s="18">
        <f>'Ann 4'!I22</f>
        <v>2436881.8726058751</v>
      </c>
      <c r="J49" s="18">
        <f>'Ann 4'!J22</f>
        <v>2338364.0715375096</v>
      </c>
      <c r="K49" s="18">
        <f>'Ann 4'!K22</f>
        <v>2234920.3804157153</v>
      </c>
    </row>
    <row r="50" spans="1:11" x14ac:dyDescent="0.35">
      <c r="A50" s="49"/>
      <c r="B50" s="50" t="s">
        <v>146</v>
      </c>
      <c r="C50" s="11">
        <f>C49/C48</f>
        <v>0.1958384147220335</v>
      </c>
      <c r="D50" s="11">
        <f t="shared" ref="D50:H50" si="16">D49/D48</f>
        <v>0.61532082606632177</v>
      </c>
      <c r="E50" s="51">
        <f t="shared" si="16"/>
        <v>0.68147406061021099</v>
      </c>
      <c r="F50" s="51">
        <f t="shared" si="16"/>
        <v>0.74830326076711029</v>
      </c>
      <c r="G50" s="51">
        <f t="shared" si="16"/>
        <v>0.81576852063124272</v>
      </c>
      <c r="H50" s="51">
        <f t="shared" si="16"/>
        <v>0.6557032946983038</v>
      </c>
      <c r="I50" s="107">
        <v>0</v>
      </c>
      <c r="J50" s="107">
        <v>0</v>
      </c>
      <c r="K50" s="107">
        <v>0</v>
      </c>
    </row>
    <row r="51" spans="1:11" x14ac:dyDescent="0.35">
      <c r="A51" s="5"/>
      <c r="B51" s="59" t="s">
        <v>150</v>
      </c>
      <c r="C51" s="5"/>
      <c r="D51" s="5"/>
      <c r="E51" s="5"/>
      <c r="F51" s="5">
        <f>AVERAGE(C50:G50)</f>
        <v>0.61134101655938378</v>
      </c>
      <c r="G51" s="5"/>
      <c r="H51" s="5"/>
      <c r="I51" s="5"/>
      <c r="J51" s="5"/>
      <c r="K51" s="5"/>
    </row>
    <row r="52" spans="1:11" x14ac:dyDescent="0.35">
      <c r="I52" s="16"/>
      <c r="J52" s="16"/>
      <c r="K52" s="16"/>
    </row>
    <row r="54" spans="1:11" x14ac:dyDescent="0.35">
      <c r="A54" t="s">
        <v>310</v>
      </c>
    </row>
    <row r="55" spans="1:11" x14ac:dyDescent="0.35">
      <c r="A55" t="s">
        <v>311</v>
      </c>
    </row>
  </sheetData>
  <mergeCells count="3">
    <mergeCell ref="A5:A6"/>
    <mergeCell ref="B5:B6"/>
    <mergeCell ref="C5:K5"/>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223</v>
      </c>
    </row>
    <row r="3" spans="1:3" x14ac:dyDescent="0.35">
      <c r="A3" s="3" t="s">
        <v>226</v>
      </c>
    </row>
    <row r="5" spans="1:3" x14ac:dyDescent="0.35">
      <c r="A5" s="22" t="s">
        <v>224</v>
      </c>
    </row>
    <row r="6" spans="1:3" x14ac:dyDescent="0.35">
      <c r="A6" s="23" t="s">
        <v>232</v>
      </c>
    </row>
    <row r="7" spans="1:3" x14ac:dyDescent="0.35">
      <c r="A7" t="s">
        <v>225</v>
      </c>
      <c r="B7">
        <v>5</v>
      </c>
      <c r="C7" t="s">
        <v>229</v>
      </c>
    </row>
    <row r="8" spans="1:3" x14ac:dyDescent="0.35">
      <c r="A8" t="s">
        <v>227</v>
      </c>
      <c r="B8">
        <v>30</v>
      </c>
      <c r="C8" t="s">
        <v>230</v>
      </c>
    </row>
    <row r="9" spans="1:3" x14ac:dyDescent="0.35">
      <c r="A9" t="s">
        <v>228</v>
      </c>
      <c r="B9">
        <f>B8*3000*20/B7</f>
        <v>360000</v>
      </c>
      <c r="C9" t="s">
        <v>231</v>
      </c>
    </row>
    <row r="11" spans="1:3" x14ac:dyDescent="0.35">
      <c r="A11" s="23" t="s">
        <v>233</v>
      </c>
    </row>
    <row r="12" spans="1:3" x14ac:dyDescent="0.35">
      <c r="A12" s="23" t="s">
        <v>225</v>
      </c>
      <c r="B12">
        <v>0.5</v>
      </c>
      <c r="C12" t="s">
        <v>234</v>
      </c>
    </row>
    <row r="13" spans="1:3" x14ac:dyDescent="0.35">
      <c r="A13" s="23" t="s">
        <v>235</v>
      </c>
      <c r="B13">
        <f>B12*3000*30</f>
        <v>45000</v>
      </c>
      <c r="C13" t="s">
        <v>236</v>
      </c>
    </row>
    <row r="15" spans="1:3" x14ac:dyDescent="0.35">
      <c r="A15" t="s">
        <v>237</v>
      </c>
      <c r="B15">
        <f>B13+B9</f>
        <v>405000</v>
      </c>
    </row>
    <row r="16" spans="1:3" x14ac:dyDescent="0.35">
      <c r="A16" t="s">
        <v>238</v>
      </c>
      <c r="B16">
        <v>75</v>
      </c>
    </row>
    <row r="17" spans="1:2" x14ac:dyDescent="0.35">
      <c r="A17" t="s">
        <v>239</v>
      </c>
      <c r="B17" s="88">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sheetPr>
    <pageSetUpPr fitToPage="1"/>
  </sheetPr>
  <dimension ref="A1:F20"/>
  <sheetViews>
    <sheetView workbookViewId="0">
      <selection activeCell="E10" sqref="E10"/>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6" x14ac:dyDescent="0.35">
      <c r="A1" s="22" t="s">
        <v>154</v>
      </c>
    </row>
    <row r="3" spans="1:6" x14ac:dyDescent="0.35">
      <c r="A3" s="3" t="s">
        <v>155</v>
      </c>
    </row>
    <row r="5" spans="1:6" x14ac:dyDescent="0.35">
      <c r="A5" s="34" t="s">
        <v>52</v>
      </c>
      <c r="B5" s="34" t="s">
        <v>53</v>
      </c>
      <c r="C5" s="34" t="s">
        <v>54</v>
      </c>
      <c r="D5" s="34" t="s">
        <v>55</v>
      </c>
      <c r="E5" s="34" t="s">
        <v>220</v>
      </c>
    </row>
    <row r="6" spans="1:6" x14ac:dyDescent="0.35">
      <c r="A6" s="41" t="s">
        <v>56</v>
      </c>
      <c r="B6" s="41" t="s">
        <v>263</v>
      </c>
      <c r="C6" s="41">
        <v>1</v>
      </c>
      <c r="D6" s="30">
        <v>25000</v>
      </c>
      <c r="E6" s="30">
        <f>D6*C6*12</f>
        <v>300000</v>
      </c>
    </row>
    <row r="7" spans="1:6" x14ac:dyDescent="0.35">
      <c r="A7" s="12" t="s">
        <v>57</v>
      </c>
      <c r="B7" s="12" t="s">
        <v>264</v>
      </c>
      <c r="C7" s="12">
        <v>1</v>
      </c>
      <c r="D7" s="30">
        <v>12000</v>
      </c>
      <c r="E7" s="30">
        <f>D7*C7*12</f>
        <v>144000</v>
      </c>
    </row>
    <row r="8" spans="1:6" x14ac:dyDescent="0.35">
      <c r="A8" s="12" t="s">
        <v>60</v>
      </c>
      <c r="B8" s="12" t="s">
        <v>265</v>
      </c>
      <c r="C8" s="12">
        <v>2</v>
      </c>
      <c r="D8" s="30">
        <v>7500</v>
      </c>
      <c r="E8" s="30">
        <f>D8*C8*12</f>
        <v>180000</v>
      </c>
    </row>
    <row r="9" spans="1:6" x14ac:dyDescent="0.35">
      <c r="A9" s="12" t="s">
        <v>219</v>
      </c>
      <c r="B9" s="12" t="s">
        <v>156</v>
      </c>
      <c r="C9" s="12">
        <v>1</v>
      </c>
      <c r="D9" s="30">
        <v>6000</v>
      </c>
      <c r="E9" s="30">
        <f>D9*C9*12</f>
        <v>72000</v>
      </c>
    </row>
    <row r="10" spans="1:6" x14ac:dyDescent="0.35">
      <c r="A10" s="12" t="s">
        <v>266</v>
      </c>
      <c r="B10" s="12" t="s">
        <v>267</v>
      </c>
      <c r="C10" s="12">
        <v>5</v>
      </c>
      <c r="D10" s="30"/>
      <c r="E10" s="30">
        <f>400*300*C10</f>
        <v>600000</v>
      </c>
      <c r="F10" t="s">
        <v>301</v>
      </c>
    </row>
    <row r="11" spans="1:6" x14ac:dyDescent="0.35">
      <c r="A11" s="118" t="s">
        <v>8</v>
      </c>
      <c r="B11" s="118"/>
      <c r="C11" s="118"/>
      <c r="D11" s="118"/>
      <c r="E11" s="40">
        <f>SUM(E6:E10)</f>
        <v>1296000</v>
      </c>
    </row>
    <row r="12" spans="1:6" x14ac:dyDescent="0.35">
      <c r="A12" s="43"/>
      <c r="B12" s="45"/>
      <c r="C12" s="45"/>
      <c r="D12" s="45"/>
      <c r="E12" s="46"/>
    </row>
    <row r="13" spans="1:6" x14ac:dyDescent="0.35">
      <c r="A13" s="49" t="s">
        <v>268</v>
      </c>
      <c r="B13" s="50"/>
      <c r="C13" s="50"/>
      <c r="D13" s="50"/>
      <c r="E13" s="52">
        <f>E11*10%</f>
        <v>129600</v>
      </c>
    </row>
    <row r="14" spans="1:6" x14ac:dyDescent="0.35">
      <c r="A14" s="13" t="s">
        <v>8</v>
      </c>
      <c r="B14" s="4"/>
      <c r="C14" s="4"/>
      <c r="D14" s="4"/>
      <c r="E14" s="53">
        <f>SUM(E11:E13)</f>
        <v>1425600</v>
      </c>
    </row>
    <row r="16" spans="1:6" x14ac:dyDescent="0.35">
      <c r="A16" t="s">
        <v>58</v>
      </c>
      <c r="E16" s="16">
        <f>E14</f>
        <v>1425600</v>
      </c>
    </row>
    <row r="17" spans="1:5" x14ac:dyDescent="0.35">
      <c r="A17" t="s">
        <v>59</v>
      </c>
      <c r="E17" s="25">
        <v>0.05</v>
      </c>
    </row>
    <row r="18" spans="1:5" x14ac:dyDescent="0.35">
      <c r="A18" t="s">
        <v>158</v>
      </c>
      <c r="E18">
        <f>SUM(C6:C10)</f>
        <v>10</v>
      </c>
    </row>
    <row r="20" spans="1:5" x14ac:dyDescent="0.35">
      <c r="A20" t="s">
        <v>302</v>
      </c>
    </row>
  </sheetData>
  <mergeCells count="1">
    <mergeCell ref="A11:D11"/>
  </mergeCells>
  <pageMargins left="0.7" right="0.7" top="0.75" bottom="0.75" header="0.3" footer="0.3"/>
  <pageSetup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A11" sqref="A11"/>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62</v>
      </c>
    </row>
    <row r="3" spans="1:6" x14ac:dyDescent="0.35">
      <c r="A3" s="3" t="s">
        <v>61</v>
      </c>
    </row>
    <row r="5" spans="1:6" x14ac:dyDescent="0.35">
      <c r="A5" s="34" t="s">
        <v>24</v>
      </c>
      <c r="B5" s="34" t="s">
        <v>3</v>
      </c>
      <c r="C5" s="34" t="s">
        <v>65</v>
      </c>
      <c r="D5" s="34" t="s">
        <v>11</v>
      </c>
      <c r="E5" s="34" t="s">
        <v>66</v>
      </c>
      <c r="F5" s="34" t="s">
        <v>67</v>
      </c>
    </row>
    <row r="6" spans="1:6" x14ac:dyDescent="0.35">
      <c r="A6" s="12" t="s">
        <v>56</v>
      </c>
      <c r="B6" s="12" t="s">
        <v>13</v>
      </c>
      <c r="C6" s="30">
        <f>'Ann 1'!C15*100000</f>
        <v>3500000</v>
      </c>
      <c r="D6" s="30">
        <f>('Ann 1'!C20+'Ann 1'!C37)*100000</f>
        <v>2235500</v>
      </c>
      <c r="E6" s="30">
        <f>'Ann 3'!E21</f>
        <v>378000</v>
      </c>
      <c r="F6" s="65">
        <f>SUM(C6:E6)/100000</f>
        <v>61.134999999999998</v>
      </c>
    </row>
    <row r="7" spans="1:6" x14ac:dyDescent="0.35">
      <c r="A7" s="12" t="s">
        <v>57</v>
      </c>
      <c r="B7" s="12" t="s">
        <v>63</v>
      </c>
      <c r="C7" s="30">
        <v>0</v>
      </c>
      <c r="D7" s="30">
        <v>0</v>
      </c>
      <c r="E7" s="30">
        <v>0</v>
      </c>
      <c r="F7" s="93">
        <f>SUM(C7:E7)/100000</f>
        <v>0</v>
      </c>
    </row>
    <row r="8" spans="1:6" x14ac:dyDescent="0.35">
      <c r="A8" s="12" t="s">
        <v>60</v>
      </c>
      <c r="B8" s="12" t="s">
        <v>64</v>
      </c>
      <c r="C8" s="30">
        <v>0</v>
      </c>
      <c r="D8" s="30">
        <v>0</v>
      </c>
      <c r="E8" s="30">
        <f>'Ann 1'!C39*100000</f>
        <v>113500</v>
      </c>
      <c r="F8" s="93">
        <f>SUM(C8:E8)/100000</f>
        <v>1.135</v>
      </c>
    </row>
    <row r="9" spans="1:6" x14ac:dyDescent="0.35">
      <c r="A9" s="12"/>
      <c r="B9" s="118" t="s">
        <v>8</v>
      </c>
      <c r="C9" s="118"/>
      <c r="D9" s="118"/>
      <c r="E9" s="118"/>
      <c r="F9" s="65">
        <f>SUM(F6:F8)</f>
        <v>62.269999999999996</v>
      </c>
    </row>
    <row r="11" spans="1:6" x14ac:dyDescent="0.35">
      <c r="A11" s="79"/>
      <c r="B11" s="79" t="s">
        <v>68</v>
      </c>
      <c r="C11" s="114">
        <v>0.1</v>
      </c>
      <c r="D11" s="114">
        <v>0.15</v>
      </c>
      <c r="E11" s="114">
        <v>0.1</v>
      </c>
      <c r="F11" s="79" t="s">
        <v>173</v>
      </c>
    </row>
    <row r="12" spans="1:6" x14ac:dyDescent="0.35">
      <c r="A12" s="77" t="s">
        <v>69</v>
      </c>
      <c r="B12" s="74">
        <v>1</v>
      </c>
      <c r="C12" s="78">
        <f>C11*C6</f>
        <v>350000</v>
      </c>
      <c r="D12" s="78">
        <f>D11*D6</f>
        <v>335325</v>
      </c>
      <c r="E12" s="78">
        <f>E11*(E6+E8)</f>
        <v>49150</v>
      </c>
      <c r="F12" s="78">
        <f>SUM(C12:E12)</f>
        <v>734475</v>
      </c>
    </row>
    <row r="13" spans="1:6" x14ac:dyDescent="0.35">
      <c r="A13" s="77" t="s">
        <v>69</v>
      </c>
      <c r="B13" s="74">
        <v>2</v>
      </c>
      <c r="C13" s="78">
        <f>(C6-C12)*C11</f>
        <v>315000</v>
      </c>
      <c r="D13" s="78">
        <f>(D6-D12)*D11</f>
        <v>285026.25</v>
      </c>
      <c r="E13" s="78">
        <f>(E6+E8-E12)*E11</f>
        <v>44235</v>
      </c>
      <c r="F13" s="78">
        <f>SUM(C13:E13)</f>
        <v>644261.25</v>
      </c>
    </row>
    <row r="14" spans="1:6" x14ac:dyDescent="0.35">
      <c r="A14" s="77" t="s">
        <v>69</v>
      </c>
      <c r="B14" s="74">
        <v>3</v>
      </c>
      <c r="C14" s="78">
        <f>(C6-C12-C13)*C11</f>
        <v>283500</v>
      </c>
      <c r="D14" s="78">
        <f>(D6-D12-D13)*D11</f>
        <v>242272.3125</v>
      </c>
      <c r="E14" s="78">
        <f>(E6+E8-E12-E13)*E11</f>
        <v>39811.5</v>
      </c>
      <c r="F14" s="78">
        <f t="shared" ref="F14:F20" si="0">SUM(C14:E14)</f>
        <v>565583.8125</v>
      </c>
    </row>
    <row r="15" spans="1:6" x14ac:dyDescent="0.35">
      <c r="A15" s="77" t="s">
        <v>69</v>
      </c>
      <c r="B15" s="74">
        <v>4</v>
      </c>
      <c r="C15" s="78">
        <f>(C6-C12-C13-C14)*C11</f>
        <v>255150</v>
      </c>
      <c r="D15" s="78">
        <f>(D6-D12-D13-D14)*D11</f>
        <v>205931.46562499998</v>
      </c>
      <c r="E15" s="78">
        <f>(E6+E8-E12-E13-E14)*E11</f>
        <v>35830.35</v>
      </c>
      <c r="F15" s="78">
        <f t="shared" si="0"/>
        <v>496911.81562499993</v>
      </c>
    </row>
    <row r="16" spans="1:6" x14ac:dyDescent="0.35">
      <c r="A16" s="77" t="s">
        <v>69</v>
      </c>
      <c r="B16" s="74">
        <v>5</v>
      </c>
      <c r="C16" s="78">
        <f>(C6-C12-C13-C14-C15)*C11</f>
        <v>229635</v>
      </c>
      <c r="D16" s="78">
        <f>(D6-D12-D13-D14-D15)*D11</f>
        <v>175041.74578125001</v>
      </c>
      <c r="E16" s="78">
        <f>(E6+E8-E12-E13-E14-E15)*E11</f>
        <v>32247.315000000002</v>
      </c>
      <c r="F16" s="78">
        <f t="shared" si="0"/>
        <v>436924.06078125001</v>
      </c>
    </row>
    <row r="17" spans="1:6" x14ac:dyDescent="0.35">
      <c r="A17" s="77" t="s">
        <v>69</v>
      </c>
      <c r="B17" s="74">
        <v>6</v>
      </c>
      <c r="C17" s="78">
        <f>(C6-C12-C13-C14-C15-C16)*C11</f>
        <v>206671.5</v>
      </c>
      <c r="D17" s="78">
        <f>(D6-D12-D13-D14-D15-D16)*D11</f>
        <v>148785.4839140625</v>
      </c>
      <c r="E17" s="78">
        <f>(E6+E8-E12-E13-E14-E15-E16)*E11</f>
        <v>29022.583500000004</v>
      </c>
      <c r="F17" s="78">
        <f t="shared" si="0"/>
        <v>384479.56741406251</v>
      </c>
    </row>
    <row r="18" spans="1:6" x14ac:dyDescent="0.35">
      <c r="A18" s="77" t="s">
        <v>69</v>
      </c>
      <c r="B18" s="74">
        <v>7</v>
      </c>
      <c r="C18" s="78">
        <f>(C6-C12-C13-C14-C15-C16-C17)*C11</f>
        <v>186004.35</v>
      </c>
      <c r="D18" s="78">
        <f>(D6-D12-D13-D14-D15-D16-D17)*D11</f>
        <v>126467.66132695312</v>
      </c>
      <c r="E18" s="78">
        <f>(E6+E8-E12-E13-E14-E15-E16-E17)*E11</f>
        <v>26120.325150000004</v>
      </c>
      <c r="F18" s="78">
        <f t="shared" si="0"/>
        <v>338592.33647695312</v>
      </c>
    </row>
    <row r="19" spans="1:6" x14ac:dyDescent="0.35">
      <c r="A19" s="77" t="s">
        <v>69</v>
      </c>
      <c r="B19" s="74">
        <v>8</v>
      </c>
      <c r="C19" s="78">
        <f>(C6-C12-C13-C14-C15-C16-C17-C18)*C11</f>
        <v>167403.91500000001</v>
      </c>
      <c r="D19" s="78">
        <f>(D6-D12-D13-D14-D15-D16-D17-D18)*D11</f>
        <v>107497.51212791016</v>
      </c>
      <c r="E19" s="78">
        <f>(E6+E8-E12-E13-E14-E15-E16-E17-E18)*E11</f>
        <v>23508.292635000005</v>
      </c>
      <c r="F19" s="78">
        <f t="shared" si="0"/>
        <v>298409.71976291022</v>
      </c>
    </row>
    <row r="20" spans="1:6" x14ac:dyDescent="0.35">
      <c r="A20" s="77" t="s">
        <v>69</v>
      </c>
      <c r="B20" s="74">
        <v>9</v>
      </c>
      <c r="C20" s="78">
        <f>(C6-C12-C13-C14-C15-C16-C17-C18-C19)*C11</f>
        <v>150663.52349999998</v>
      </c>
      <c r="D20" s="78">
        <f>(D6-D12-D13-D14-D15-D16-D17-D18-D19)*D11</f>
        <v>91372.885308723635</v>
      </c>
      <c r="E20" s="78">
        <f>(E6+E8-E12-E13-E14-E15-E16-E17-E18-E19)*E11</f>
        <v>21157.463371500002</v>
      </c>
      <c r="F20" s="78">
        <f t="shared" si="0"/>
        <v>263193.87218022364</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2021-07-26T05:28:19Z</cp:lastPrinted>
  <dcterms:created xsi:type="dcterms:W3CDTF">2021-07-04T07:21:16Z</dcterms:created>
  <dcterms:modified xsi:type="dcterms:W3CDTF">2021-07-26T05:28:20Z</dcterms:modified>
</cp:coreProperties>
</file>