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 Assignments\6. Ashiwini Mittal uncle's bid for work\4. Bio Stimulant Plant\"/>
    </mc:Choice>
  </mc:AlternateContent>
  <xr:revisionPtr revIDLastSave="0" documentId="13_ncr:1_{9E1C9FC3-5B07-405A-8F43-E031689D01AB}" xr6:coauthVersionLast="47" xr6:coauthVersionMax="47" xr10:uidLastSave="{00000000-0000-0000-0000-000000000000}"/>
  <bookViews>
    <workbookView xWindow="-110" yWindow="-110" windowWidth="19420" windowHeight="11020" xr2:uid="{8B0049CE-B79C-4EF0-8FA8-FBBF9BECEBD1}"/>
  </bookViews>
  <sheets>
    <sheet name="Contents" sheetId="21" r:id="rId1"/>
    <sheet name="Ann 1" sheetId="1" r:id="rId2"/>
    <sheet name="Ann 2" sheetId="2" r:id="rId3"/>
    <sheet name="Ann 3" sheetId="3" r:id="rId4"/>
    <sheet name="Ann 4" sheetId="4" r:id="rId5"/>
    <sheet name="Ann 5" sheetId="7" r:id="rId6"/>
    <sheet name="Ann 8" sheetId="9" r:id="rId7"/>
    <sheet name="Ann 9" sheetId="10" r:id="rId8"/>
    <sheet name="Ann 10" sheetId="13" r:id="rId9"/>
    <sheet name="Ann 11" sheetId="11" r:id="rId10"/>
    <sheet name="Ann 12" sheetId="12" state="hidden" r:id="rId11"/>
    <sheet name="Ann 13" sheetId="14" r:id="rId12"/>
    <sheet name="Budgets" sheetId="19" r:id="rId13"/>
    <sheet name="Cash flows" sheetId="18" r:id="rId14"/>
    <sheet name="For word file" sheetId="20" r:id="rId15"/>
    <sheet name="Assumptions" sheetId="22" r:id="rId16"/>
    <sheet name="Sheet1" sheetId="15" state="hidden" r:id="rId17"/>
  </sheets>
  <externalReferences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9" l="1"/>
  <c r="G18" i="18"/>
  <c r="B5" i="18"/>
  <c r="F47" i="7"/>
  <c r="C6" i="2"/>
  <c r="F18" i="11"/>
  <c r="A17" i="21"/>
  <c r="E7" i="22"/>
  <c r="D7" i="22"/>
  <c r="F6" i="22"/>
  <c r="F7" i="22" s="1"/>
  <c r="E6" i="22"/>
  <c r="A18" i="21"/>
  <c r="A16" i="21"/>
  <c r="A15" i="21"/>
  <c r="A14" i="21"/>
  <c r="A13" i="21"/>
  <c r="A12" i="21"/>
  <c r="A11" i="21"/>
  <c r="A10" i="21"/>
  <c r="A9" i="21"/>
  <c r="A8" i="21"/>
  <c r="A7" i="21"/>
  <c r="A6" i="21"/>
  <c r="A5" i="21"/>
  <c r="A4" i="21"/>
  <c r="B7" i="18"/>
  <c r="B6" i="18"/>
  <c r="E47" i="7"/>
  <c r="G47" i="7"/>
  <c r="H47" i="7"/>
  <c r="I47" i="7"/>
  <c r="J47" i="7"/>
  <c r="K47" i="7"/>
  <c r="D24" i="11"/>
  <c r="D23" i="11"/>
  <c r="C16" i="4"/>
  <c r="F14" i="11"/>
  <c r="E11" i="11"/>
  <c r="E10" i="11"/>
  <c r="B23" i="18"/>
  <c r="J23" i="18"/>
  <c r="I23" i="18"/>
  <c r="H23" i="18"/>
  <c r="G23" i="18"/>
  <c r="F23" i="18"/>
  <c r="E23" i="18"/>
  <c r="D23" i="18"/>
  <c r="C23" i="18"/>
  <c r="G6" i="22" l="1"/>
  <c r="D8" i="4"/>
  <c r="E8" i="4"/>
  <c r="F8" i="4"/>
  <c r="G8" i="4"/>
  <c r="H8" i="4"/>
  <c r="I8" i="4"/>
  <c r="J8" i="4"/>
  <c r="K8" i="4"/>
  <c r="C43" i="4"/>
  <c r="C8" i="4" s="1"/>
  <c r="C6" i="10"/>
  <c r="D26" i="4"/>
  <c r="E26" i="4"/>
  <c r="F26" i="4"/>
  <c r="G26" i="4"/>
  <c r="H26" i="4"/>
  <c r="I26" i="4"/>
  <c r="J26" i="4"/>
  <c r="K26" i="4"/>
  <c r="C26" i="4"/>
  <c r="G20" i="3"/>
  <c r="G22" i="3" s="1"/>
  <c r="I41" i="7"/>
  <c r="J41" i="7"/>
  <c r="K41" i="7"/>
  <c r="H6" i="22" l="1"/>
  <c r="G7" i="22"/>
  <c r="D42" i="4"/>
  <c r="D43" i="4" s="1"/>
  <c r="B15" i="19"/>
  <c r="B18" i="19" s="1"/>
  <c r="E9" i="11" l="1"/>
  <c r="D26" i="11"/>
  <c r="D28" i="11"/>
  <c r="H7" i="22"/>
  <c r="I6" i="22"/>
  <c r="E42" i="4"/>
  <c r="E43" i="4" s="1"/>
  <c r="B5" i="19"/>
  <c r="B7" i="19" s="1"/>
  <c r="C7" i="19" s="1"/>
  <c r="D7" i="19" s="1"/>
  <c r="E7" i="19" s="1"/>
  <c r="F7" i="19" s="1"/>
  <c r="G7" i="19" s="1"/>
  <c r="H7" i="19" s="1"/>
  <c r="I7" i="19" s="1"/>
  <c r="J7" i="19" s="1"/>
  <c r="I5" i="19"/>
  <c r="H5" i="19"/>
  <c r="D5" i="19"/>
  <c r="G5" i="19"/>
  <c r="F5" i="19"/>
  <c r="E5" i="19"/>
  <c r="C5" i="19"/>
  <c r="J5" i="19"/>
  <c r="I7" i="22" l="1"/>
  <c r="J6" i="22"/>
  <c r="F42" i="4"/>
  <c r="F43" i="4" s="1"/>
  <c r="G21" i="4"/>
  <c r="G7" i="4"/>
  <c r="G24" i="7" s="1"/>
  <c r="F23" i="19"/>
  <c r="H21" i="4"/>
  <c r="H7" i="4"/>
  <c r="H24" i="7" s="1"/>
  <c r="G23" i="19"/>
  <c r="E21" i="4"/>
  <c r="E7" i="4"/>
  <c r="E24" i="7" s="1"/>
  <c r="D23" i="19"/>
  <c r="D6" i="19"/>
  <c r="I21" i="4"/>
  <c r="H23" i="19"/>
  <c r="I7" i="4"/>
  <c r="I24" i="7" s="1"/>
  <c r="J21" i="4"/>
  <c r="J7" i="4"/>
  <c r="J24" i="7" s="1"/>
  <c r="I23" i="19"/>
  <c r="K21" i="4"/>
  <c r="K7" i="4"/>
  <c r="K24" i="7" s="1"/>
  <c r="J23" i="19"/>
  <c r="C21" i="4"/>
  <c r="C7" i="4"/>
  <c r="C24" i="7" s="1"/>
  <c r="B23" i="19"/>
  <c r="B24" i="19" s="1"/>
  <c r="B6" i="19"/>
  <c r="F21" i="4"/>
  <c r="F7" i="4"/>
  <c r="F24" i="7" s="1"/>
  <c r="E23" i="19"/>
  <c r="E6" i="19"/>
  <c r="D21" i="4"/>
  <c r="D7" i="4"/>
  <c r="D24" i="7" s="1"/>
  <c r="C23" i="19"/>
  <c r="C6" i="19"/>
  <c r="K13" i="7" l="1"/>
  <c r="J3" i="20"/>
  <c r="E13" i="7"/>
  <c r="D3" i="20"/>
  <c r="F13" i="7"/>
  <c r="E3" i="20"/>
  <c r="I13" i="7"/>
  <c r="H3" i="20"/>
  <c r="G13" i="7"/>
  <c r="F3" i="20"/>
  <c r="J13" i="7"/>
  <c r="I3" i="20"/>
  <c r="D13" i="7"/>
  <c r="C3" i="20"/>
  <c r="F5" i="11"/>
  <c r="C13" i="7"/>
  <c r="B8" i="18" s="1"/>
  <c r="B3" i="20"/>
  <c r="H13" i="7"/>
  <c r="G3" i="20"/>
  <c r="J7" i="22"/>
  <c r="K6" i="22"/>
  <c r="D9" i="4"/>
  <c r="J9" i="4"/>
  <c r="K9" i="4"/>
  <c r="I9" i="4"/>
  <c r="H9" i="4"/>
  <c r="G9" i="4"/>
  <c r="E7" i="11"/>
  <c r="E8" i="11" s="1"/>
  <c r="F9" i="4"/>
  <c r="E9" i="4"/>
  <c r="C9" i="4"/>
  <c r="G42" i="4"/>
  <c r="G43" i="4" s="1"/>
  <c r="D25" i="19"/>
  <c r="E17" i="4"/>
  <c r="E25" i="19"/>
  <c r="F17" i="4"/>
  <c r="B25" i="19"/>
  <c r="B26" i="19" s="1"/>
  <c r="C12" i="4" s="1"/>
  <c r="C17" i="4"/>
  <c r="C25" i="19"/>
  <c r="D17" i="4"/>
  <c r="C8" i="18"/>
  <c r="D8" i="18"/>
  <c r="K7" i="22" l="1"/>
  <c r="L6" i="22"/>
  <c r="L7" i="22" s="1"/>
  <c r="H42" i="4"/>
  <c r="H43" i="4" s="1"/>
  <c r="C22" i="19"/>
  <c r="C26" i="19" l="1"/>
  <c r="D12" i="4" s="1"/>
  <c r="C24" i="19"/>
  <c r="I42" i="4"/>
  <c r="I43" i="4" s="1"/>
  <c r="D11" i="4"/>
  <c r="C12" i="7"/>
  <c r="D22" i="19"/>
  <c r="D26" i="19" l="1"/>
  <c r="E12" i="4" s="1"/>
  <c r="D24" i="19"/>
  <c r="J42" i="4"/>
  <c r="J43" i="4" s="1"/>
  <c r="E11" i="4"/>
  <c r="D12" i="7"/>
  <c r="E22" i="19" l="1"/>
  <c r="K42" i="4"/>
  <c r="K43" i="4" s="1"/>
  <c r="F11" i="4"/>
  <c r="E12" i="7"/>
  <c r="D12" i="14"/>
  <c r="C12" i="1"/>
  <c r="C35" i="1"/>
  <c r="C30" i="4" s="1"/>
  <c r="J27" i="4"/>
  <c r="K27" i="4"/>
  <c r="J12" i="18" s="1"/>
  <c r="B18" i="18"/>
  <c r="C9" i="18"/>
  <c r="E26" i="19" l="1"/>
  <c r="E24" i="19"/>
  <c r="D13" i="14"/>
  <c r="D14" i="14" s="1"/>
  <c r="D15" i="14" s="1"/>
  <c r="C47" i="7"/>
  <c r="I12" i="18"/>
  <c r="J46" i="7"/>
  <c r="D16" i="14"/>
  <c r="D17" i="14" s="1"/>
  <c r="K46" i="7"/>
  <c r="C29" i="7"/>
  <c r="E6" i="9"/>
  <c r="E16" i="9"/>
  <c r="F12" i="4" l="1"/>
  <c r="F22" i="19"/>
  <c r="D18" i="14"/>
  <c r="D19" i="14" s="1"/>
  <c r="D20" i="14" s="1"/>
  <c r="D21" i="14" s="1"/>
  <c r="D18" i="18"/>
  <c r="C18" i="18"/>
  <c r="D9" i="18"/>
  <c r="F24" i="19" l="1"/>
  <c r="F6" i="19" s="1"/>
  <c r="G11" i="4"/>
  <c r="F12" i="7"/>
  <c r="C10" i="4"/>
  <c r="D10" i="4"/>
  <c r="D13" i="4" s="1"/>
  <c r="D22" i="14"/>
  <c r="D23" i="14" s="1"/>
  <c r="D24" i="14" s="1"/>
  <c r="D25" i="14" s="1"/>
  <c r="E18" i="18"/>
  <c r="D29" i="7"/>
  <c r="E9" i="18"/>
  <c r="D4" i="14"/>
  <c r="C10" i="14" s="1"/>
  <c r="E10" i="14" s="1"/>
  <c r="E12" i="10"/>
  <c r="I34" i="7"/>
  <c r="J34" i="7"/>
  <c r="K34" i="7"/>
  <c r="D25" i="11"/>
  <c r="D29" i="11" s="1"/>
  <c r="J48" i="7"/>
  <c r="K48" i="7"/>
  <c r="C12" i="10"/>
  <c r="C20" i="1"/>
  <c r="D6" i="10" s="1"/>
  <c r="D12" i="10" s="1"/>
  <c r="D13" i="10" s="1"/>
  <c r="C16" i="1"/>
  <c r="F8" i="10"/>
  <c r="F7" i="10"/>
  <c r="E8" i="9"/>
  <c r="E7" i="9"/>
  <c r="C9" i="1"/>
  <c r="F25" i="19" l="1"/>
  <c r="F26" i="19" s="1"/>
  <c r="G17" i="4"/>
  <c r="C39" i="1"/>
  <c r="C8" i="2" s="1"/>
  <c r="C9" i="7"/>
  <c r="F6" i="10"/>
  <c r="F9" i="10" s="1"/>
  <c r="F12" i="10"/>
  <c r="C31" i="4"/>
  <c r="C13" i="4"/>
  <c r="C10" i="18"/>
  <c r="C7" i="15"/>
  <c r="D26" i="14"/>
  <c r="E9" i="9"/>
  <c r="E29" i="7"/>
  <c r="F9" i="18"/>
  <c r="D10" i="18"/>
  <c r="C10" i="7"/>
  <c r="B10" i="13"/>
  <c r="C13" i="10"/>
  <c r="C3" i="15"/>
  <c r="C9" i="14"/>
  <c r="E9" i="14" s="1"/>
  <c r="C11" i="14"/>
  <c r="E11" i="14" s="1"/>
  <c r="E13" i="10"/>
  <c r="K6" i="12"/>
  <c r="E5" i="12"/>
  <c r="H6" i="12"/>
  <c r="E6" i="12"/>
  <c r="D6" i="12"/>
  <c r="F6" i="12"/>
  <c r="F5" i="12"/>
  <c r="G5" i="12"/>
  <c r="I6" i="12"/>
  <c r="D14" i="10"/>
  <c r="G12" i="4" l="1"/>
  <c r="G22" i="19"/>
  <c r="F13" i="10"/>
  <c r="C11" i="7"/>
  <c r="D9" i="7" s="1"/>
  <c r="E10" i="4"/>
  <c r="E13" i="4" s="1"/>
  <c r="D27" i="14"/>
  <c r="C12" i="14"/>
  <c r="E12" i="14" s="1"/>
  <c r="F19" i="11" s="1"/>
  <c r="E11" i="9"/>
  <c r="E12" i="9" s="1"/>
  <c r="E14" i="9" s="1"/>
  <c r="F29" i="7"/>
  <c r="F3" i="15"/>
  <c r="E10" i="18"/>
  <c r="G9" i="18"/>
  <c r="C14" i="10"/>
  <c r="F14" i="10" s="1"/>
  <c r="C10" i="13"/>
  <c r="D31" i="4"/>
  <c r="D10" i="7"/>
  <c r="E3" i="15"/>
  <c r="D3" i="15"/>
  <c r="E14" i="10"/>
  <c r="H5" i="12"/>
  <c r="J5" i="12"/>
  <c r="C6" i="12"/>
  <c r="J6" i="12"/>
  <c r="D5" i="12"/>
  <c r="I5" i="12"/>
  <c r="C5" i="12"/>
  <c r="G6" i="12"/>
  <c r="K5" i="12"/>
  <c r="D15" i="10"/>
  <c r="D16" i="10" s="1"/>
  <c r="D17" i="10" s="1"/>
  <c r="G24" i="19" l="1"/>
  <c r="G6" i="19" s="1"/>
  <c r="H11" i="4"/>
  <c r="G12" i="7"/>
  <c r="D47" i="7"/>
  <c r="C18" i="7"/>
  <c r="B24" i="18" s="1"/>
  <c r="B25" i="18" s="1"/>
  <c r="C40" i="7"/>
  <c r="D16" i="4"/>
  <c r="C18" i="4"/>
  <c r="B11" i="18" s="1"/>
  <c r="F10" i="4"/>
  <c r="F13" i="4" s="1"/>
  <c r="D28" i="14"/>
  <c r="C13" i="14"/>
  <c r="E13" i="14" s="1"/>
  <c r="G29" i="7"/>
  <c r="H9" i="18"/>
  <c r="F10" i="18"/>
  <c r="D11" i="7"/>
  <c r="D40" i="7" s="1"/>
  <c r="E31" i="4"/>
  <c r="E10" i="7"/>
  <c r="D10" i="13"/>
  <c r="C15" i="10"/>
  <c r="E15" i="10"/>
  <c r="D18" i="10"/>
  <c r="H17" i="4" l="1"/>
  <c r="G25" i="19"/>
  <c r="G26" i="19" s="1"/>
  <c r="F15" i="10"/>
  <c r="C25" i="4"/>
  <c r="C27" i="4" s="1"/>
  <c r="E16" i="4"/>
  <c r="D18" i="4"/>
  <c r="C20" i="4"/>
  <c r="G10" i="4"/>
  <c r="G13" i="4" s="1"/>
  <c r="D29" i="14"/>
  <c r="F18" i="18"/>
  <c r="C22" i="7"/>
  <c r="C41" i="7" s="1"/>
  <c r="C14" i="14"/>
  <c r="E14" i="14" s="1"/>
  <c r="E8" i="18"/>
  <c r="H29" i="7"/>
  <c r="G10" i="18"/>
  <c r="G3" i="15"/>
  <c r="I9" i="18"/>
  <c r="E9" i="7"/>
  <c r="E11" i="7" s="1"/>
  <c r="E40" i="7" s="1"/>
  <c r="F10" i="7"/>
  <c r="E10" i="13"/>
  <c r="F31" i="4"/>
  <c r="C16" i="10"/>
  <c r="C17" i="10" s="1"/>
  <c r="E16" i="10"/>
  <c r="D19" i="10"/>
  <c r="D20" i="10" s="1"/>
  <c r="H12" i="4" l="1"/>
  <c r="H22" i="19"/>
  <c r="H24" i="19" s="1"/>
  <c r="H6" i="19" s="1"/>
  <c r="F16" i="10"/>
  <c r="C22" i="4"/>
  <c r="C49" i="7" s="1"/>
  <c r="B4" i="20"/>
  <c r="B5" i="20" s="1"/>
  <c r="B6" i="20" s="1"/>
  <c r="C46" i="7"/>
  <c r="C48" i="7" s="1"/>
  <c r="B12" i="18"/>
  <c r="C11" i="18"/>
  <c r="D20" i="4"/>
  <c r="F16" i="4"/>
  <c r="E18" i="4"/>
  <c r="H10" i="4"/>
  <c r="H13" i="4" s="1"/>
  <c r="D30" i="14"/>
  <c r="C42" i="7"/>
  <c r="C34" i="7"/>
  <c r="C15" i="14"/>
  <c r="E15" i="14" s="1"/>
  <c r="F8" i="18"/>
  <c r="I29" i="7"/>
  <c r="J9" i="18"/>
  <c r="H10" i="18"/>
  <c r="H3" i="15"/>
  <c r="F9" i="7"/>
  <c r="F11" i="7" s="1"/>
  <c r="F40" i="7" s="1"/>
  <c r="G10" i="7"/>
  <c r="F10" i="13"/>
  <c r="G31" i="4"/>
  <c r="C18" i="10"/>
  <c r="E17" i="10"/>
  <c r="H31" i="4" s="1"/>
  <c r="H25" i="19" l="1"/>
  <c r="H26" i="19" s="1"/>
  <c r="I17" i="4"/>
  <c r="I11" i="4"/>
  <c r="H12" i="7"/>
  <c r="B13" i="18"/>
  <c r="C29" i="4"/>
  <c r="C32" i="4" s="1"/>
  <c r="B7" i="20" s="1"/>
  <c r="F17" i="10"/>
  <c r="D22" i="4"/>
  <c r="D49" i="7" s="1"/>
  <c r="C4" i="20"/>
  <c r="C50" i="7"/>
  <c r="B7" i="13"/>
  <c r="B9" i="13" s="1"/>
  <c r="B11" i="13" s="1"/>
  <c r="B13" i="13" s="1"/>
  <c r="B14" i="13" s="1"/>
  <c r="C33" i="4" s="1"/>
  <c r="B14" i="18" s="1"/>
  <c r="G16" i="4"/>
  <c r="F18" i="4"/>
  <c r="D11" i="18"/>
  <c r="E20" i="4"/>
  <c r="I10" i="4"/>
  <c r="D31" i="14"/>
  <c r="C16" i="14"/>
  <c r="E16" i="14" s="1"/>
  <c r="G8" i="18"/>
  <c r="K29" i="7"/>
  <c r="J29" i="7"/>
  <c r="I10" i="18"/>
  <c r="I3" i="15"/>
  <c r="G9" i="7"/>
  <c r="G11" i="7" s="1"/>
  <c r="H10" i="7"/>
  <c r="G10" i="13"/>
  <c r="C19" i="10"/>
  <c r="E18" i="10"/>
  <c r="E19" i="10" s="1"/>
  <c r="I12" i="4" l="1"/>
  <c r="I22" i="19"/>
  <c r="I24" i="19" s="1"/>
  <c r="I6" i="19" s="1"/>
  <c r="F18" i="10"/>
  <c r="E22" i="4"/>
  <c r="E49" i="7" s="1"/>
  <c r="D4" i="20"/>
  <c r="C5" i="20"/>
  <c r="C6" i="20" s="1"/>
  <c r="B15" i="18"/>
  <c r="C34" i="4"/>
  <c r="C20" i="10"/>
  <c r="F19" i="10"/>
  <c r="F11" i="11"/>
  <c r="F12" i="11" s="1"/>
  <c r="H16" i="4"/>
  <c r="G18" i="4"/>
  <c r="E11" i="18"/>
  <c r="F20" i="4"/>
  <c r="J10" i="4"/>
  <c r="K10" i="4"/>
  <c r="D32" i="14"/>
  <c r="D33" i="14" s="1"/>
  <c r="C17" i="14"/>
  <c r="E17" i="14" s="1"/>
  <c r="D25" i="4"/>
  <c r="D27" i="4" s="1"/>
  <c r="H8" i="18"/>
  <c r="J10" i="18"/>
  <c r="G40" i="7"/>
  <c r="H9" i="7"/>
  <c r="H11" i="7" s="1"/>
  <c r="I10" i="7"/>
  <c r="I31" i="4"/>
  <c r="H10" i="13"/>
  <c r="I10" i="13"/>
  <c r="J10" i="7"/>
  <c r="J31" i="4"/>
  <c r="E20" i="10"/>
  <c r="I25" i="19" l="1"/>
  <c r="I26" i="19" s="1"/>
  <c r="J17" i="4"/>
  <c r="I12" i="7"/>
  <c r="J11" i="4"/>
  <c r="I13" i="4"/>
  <c r="F20" i="10"/>
  <c r="F22" i="4"/>
  <c r="F49" i="7" s="1"/>
  <c r="E4" i="20"/>
  <c r="E5" i="20" s="1"/>
  <c r="E6" i="20" s="1"/>
  <c r="C35" i="4"/>
  <c r="B16" i="18" s="1"/>
  <c r="B8" i="20"/>
  <c r="D5" i="20"/>
  <c r="D6" i="20" s="1"/>
  <c r="K31" i="4"/>
  <c r="J10" i="13"/>
  <c r="F11" i="18"/>
  <c r="G20" i="4"/>
  <c r="F4" i="20" s="1"/>
  <c r="F5" i="20" s="1"/>
  <c r="F6" i="20" s="1"/>
  <c r="I16" i="4"/>
  <c r="H18" i="4"/>
  <c r="D34" i="14"/>
  <c r="D29" i="4"/>
  <c r="D32" i="4" s="1"/>
  <c r="C7" i="20" s="1"/>
  <c r="C12" i="18"/>
  <c r="D46" i="7"/>
  <c r="D48" i="7" s="1"/>
  <c r="D50" i="7" s="1"/>
  <c r="D22" i="7"/>
  <c r="D41" i="7" s="1"/>
  <c r="C18" i="14"/>
  <c r="E18" i="14" s="1"/>
  <c r="I8" i="18"/>
  <c r="J8" i="18"/>
  <c r="H40" i="7"/>
  <c r="I9" i="7"/>
  <c r="I11" i="7" s="1"/>
  <c r="J9" i="7" s="1"/>
  <c r="J11" i="7" s="1"/>
  <c r="K10" i="7"/>
  <c r="J12" i="4" l="1"/>
  <c r="J22" i="19"/>
  <c r="J24" i="19" s="1"/>
  <c r="J6" i="19" s="1"/>
  <c r="B26" i="18"/>
  <c r="B27" i="18" s="1"/>
  <c r="B30" i="18" s="1"/>
  <c r="F20" i="11"/>
  <c r="D30" i="11" s="1"/>
  <c r="D31" i="11" s="1"/>
  <c r="C36" i="4"/>
  <c r="C19" i="7" s="1"/>
  <c r="C21" i="7" s="1"/>
  <c r="C25" i="7" s="1"/>
  <c r="B29" i="18"/>
  <c r="B17" i="18"/>
  <c r="B19" i="18" s="1"/>
  <c r="C14" i="7" s="1"/>
  <c r="G11" i="18"/>
  <c r="H20" i="4"/>
  <c r="G4" i="20" s="1"/>
  <c r="G5" i="20" s="1"/>
  <c r="G6" i="20" s="1"/>
  <c r="J16" i="4"/>
  <c r="I18" i="4"/>
  <c r="D35" i="14"/>
  <c r="C19" i="14"/>
  <c r="E19" i="14" s="1"/>
  <c r="D42" i="7"/>
  <c r="D34" i="7"/>
  <c r="C7" i="13"/>
  <c r="C9" i="13" s="1"/>
  <c r="C11" i="13" s="1"/>
  <c r="C13" i="13" s="1"/>
  <c r="C14" i="13" s="1"/>
  <c r="D33" i="4" s="1"/>
  <c r="C14" i="18" s="1"/>
  <c r="I40" i="7"/>
  <c r="I42" i="7" s="1"/>
  <c r="J40" i="7"/>
  <c r="J42" i="7" s="1"/>
  <c r="K9" i="7"/>
  <c r="K11" i="7" s="1"/>
  <c r="K40" i="7" s="1"/>
  <c r="K42" i="7" s="1"/>
  <c r="G22" i="4"/>
  <c r="G49" i="7" s="1"/>
  <c r="J25" i="19" l="1"/>
  <c r="J26" i="19" s="1"/>
  <c r="K17" i="4"/>
  <c r="K11" i="4"/>
  <c r="J12" i="7"/>
  <c r="J13" i="4"/>
  <c r="C35" i="7"/>
  <c r="C36" i="7" s="1"/>
  <c r="D18" i="7"/>
  <c r="C4" i="18"/>
  <c r="C13" i="18" s="1"/>
  <c r="C15" i="18" s="1"/>
  <c r="K16" i="4"/>
  <c r="J18" i="4"/>
  <c r="H11" i="18"/>
  <c r="I20" i="4"/>
  <c r="H4" i="20" s="1"/>
  <c r="H5" i="20" s="1"/>
  <c r="H6" i="20" s="1"/>
  <c r="D36" i="14"/>
  <c r="H18" i="18" s="1"/>
  <c r="D34" i="4"/>
  <c r="C8" i="20" s="1"/>
  <c r="C20" i="14"/>
  <c r="E20" i="14" s="1"/>
  <c r="C15" i="7"/>
  <c r="C28" i="7"/>
  <c r="C30" i="7" s="1"/>
  <c r="K18" i="4" l="1"/>
  <c r="K12" i="4"/>
  <c r="K13" i="4" s="1"/>
  <c r="C24" i="18"/>
  <c r="I11" i="18"/>
  <c r="J20" i="4"/>
  <c r="I4" i="20" s="1"/>
  <c r="I5" i="20" s="1"/>
  <c r="I6" i="20" s="1"/>
  <c r="J11" i="18"/>
  <c r="D35" i="4"/>
  <c r="C16" i="18" s="1"/>
  <c r="E25" i="4"/>
  <c r="E27" i="4" s="1"/>
  <c r="C21" i="14"/>
  <c r="E21" i="14" s="1"/>
  <c r="H22" i="4"/>
  <c r="H49" i="7" s="1"/>
  <c r="K20" i="4" l="1"/>
  <c r="J4" i="20" s="1"/>
  <c r="J5" i="20" s="1"/>
  <c r="J6" i="20" s="1"/>
  <c r="K12" i="7"/>
  <c r="C25" i="18"/>
  <c r="C17" i="18"/>
  <c r="C19" i="18" s="1"/>
  <c r="D14" i="7" s="1"/>
  <c r="D28" i="7" s="1"/>
  <c r="D30" i="7" s="1"/>
  <c r="C26" i="18"/>
  <c r="C27" i="18" s="1"/>
  <c r="D36" i="4"/>
  <c r="D19" i="7" s="1"/>
  <c r="D21" i="7" s="1"/>
  <c r="E18" i="7" s="1"/>
  <c r="E22" i="7"/>
  <c r="E41" i="7" s="1"/>
  <c r="C22" i="14"/>
  <c r="E22" i="14" s="1"/>
  <c r="E46" i="7"/>
  <c r="E48" i="7" s="1"/>
  <c r="E50" i="7" s="1"/>
  <c r="D12" i="18"/>
  <c r="E29" i="4"/>
  <c r="E32" i="4" s="1"/>
  <c r="D7" i="20" s="1"/>
  <c r="C29" i="18" l="1"/>
  <c r="D15" i="7"/>
  <c r="D4" i="18"/>
  <c r="D24" i="18" s="1"/>
  <c r="C30" i="18"/>
  <c r="D25" i="7"/>
  <c r="D35" i="7"/>
  <c r="D36" i="7" s="1"/>
  <c r="D7" i="13"/>
  <c r="D9" i="13" s="1"/>
  <c r="D11" i="13" s="1"/>
  <c r="D13" i="13" s="1"/>
  <c r="D14" i="13" s="1"/>
  <c r="E33" i="4" s="1"/>
  <c r="D14" i="18" s="1"/>
  <c r="C23" i="14"/>
  <c r="E23" i="14" s="1"/>
  <c r="E42" i="7"/>
  <c r="E34" i="7"/>
  <c r="I22" i="4"/>
  <c r="I49" i="7" s="1"/>
  <c r="D25" i="18" l="1"/>
  <c r="D13" i="18"/>
  <c r="D15" i="18" s="1"/>
  <c r="E34" i="4"/>
  <c r="C24" i="14"/>
  <c r="E24" i="14" s="1"/>
  <c r="E35" i="4" l="1"/>
  <c r="D16" i="18" s="1"/>
  <c r="D26" i="18" s="1"/>
  <c r="D8" i="20"/>
  <c r="F25" i="4"/>
  <c r="F27" i="4" s="1"/>
  <c r="C25" i="14"/>
  <c r="E25" i="14" s="1"/>
  <c r="D27" i="18" l="1"/>
  <c r="D30" i="18" s="1"/>
  <c r="D29" i="18"/>
  <c r="E36" i="4"/>
  <c r="E19" i="7" s="1"/>
  <c r="E21" i="7" s="1"/>
  <c r="E35" i="7" s="1"/>
  <c r="E36" i="7" s="1"/>
  <c r="D17" i="18"/>
  <c r="D19" i="18" s="1"/>
  <c r="E4" i="18" s="1"/>
  <c r="E24" i="18" s="1"/>
  <c r="E25" i="7"/>
  <c r="F18" i="7"/>
  <c r="F22" i="7"/>
  <c r="F41" i="7" s="1"/>
  <c r="C26" i="14"/>
  <c r="E26" i="14" s="1"/>
  <c r="F46" i="7"/>
  <c r="F48" i="7" s="1"/>
  <c r="F50" i="7" s="1"/>
  <c r="E12" i="18"/>
  <c r="F29" i="4"/>
  <c r="F32" i="4" s="1"/>
  <c r="E7" i="20" s="1"/>
  <c r="J22" i="4"/>
  <c r="J3" i="15"/>
  <c r="K3" i="15"/>
  <c r="E25" i="18" l="1"/>
  <c r="E13" i="18"/>
  <c r="E14" i="7"/>
  <c r="E15" i="7" s="1"/>
  <c r="E7" i="13"/>
  <c r="E9" i="13" s="1"/>
  <c r="E11" i="13" s="1"/>
  <c r="E13" i="13" s="1"/>
  <c r="E14" i="13" s="1"/>
  <c r="F33" i="4" s="1"/>
  <c r="E14" i="18" s="1"/>
  <c r="C27" i="14"/>
  <c r="E27" i="14" s="1"/>
  <c r="F42" i="7"/>
  <c r="F34" i="7"/>
  <c r="J29" i="4"/>
  <c r="J32" i="4" s="1"/>
  <c r="I7" i="20" s="1"/>
  <c r="J49" i="7"/>
  <c r="J50" i="7" s="1"/>
  <c r="K22" i="4"/>
  <c r="E28" i="7" l="1"/>
  <c r="E30" i="7" s="1"/>
  <c r="E15" i="18"/>
  <c r="C28" i="14"/>
  <c r="E28" i="14" s="1"/>
  <c r="F34" i="4"/>
  <c r="E8" i="20" s="1"/>
  <c r="I7" i="13"/>
  <c r="I9" i="13" s="1"/>
  <c r="I11" i="13" s="1"/>
  <c r="I13" i="13" s="1"/>
  <c r="I14" i="13" s="1"/>
  <c r="J33" i="4" s="1"/>
  <c r="I14" i="18" s="1"/>
  <c r="K29" i="4"/>
  <c r="K32" i="4" s="1"/>
  <c r="J7" i="20" s="1"/>
  <c r="K49" i="7"/>
  <c r="K50" i="7" s="1"/>
  <c r="F35" i="4" l="1"/>
  <c r="E16" i="18" s="1"/>
  <c r="G25" i="4"/>
  <c r="G27" i="4" s="1"/>
  <c r="G22" i="7"/>
  <c r="G41" i="7" s="1"/>
  <c r="C29" i="14"/>
  <c r="E29" i="14" s="1"/>
  <c r="J34" i="4"/>
  <c r="J7" i="13"/>
  <c r="J9" i="13" s="1"/>
  <c r="J11" i="13" s="1"/>
  <c r="J13" i="13" s="1"/>
  <c r="J14" i="13" s="1"/>
  <c r="K33" i="4" s="1"/>
  <c r="J35" i="4" l="1"/>
  <c r="I8" i="20"/>
  <c r="E17" i="18"/>
  <c r="E19" i="18" s="1"/>
  <c r="F14" i="7" s="1"/>
  <c r="E26" i="18"/>
  <c r="F36" i="4"/>
  <c r="F19" i="7" s="1"/>
  <c r="F21" i="7" s="1"/>
  <c r="F25" i="7" s="1"/>
  <c r="F12" i="18"/>
  <c r="G46" i="7"/>
  <c r="G48" i="7" s="1"/>
  <c r="G50" i="7" s="1"/>
  <c r="F51" i="7" s="1"/>
  <c r="G29" i="4"/>
  <c r="G32" i="4" s="1"/>
  <c r="F7" i="20" s="1"/>
  <c r="G42" i="7"/>
  <c r="G34" i="7"/>
  <c r="C30" i="14"/>
  <c r="E30" i="14" s="1"/>
  <c r="K34" i="4"/>
  <c r="J14" i="18"/>
  <c r="J36" i="4"/>
  <c r="J19" i="7" s="1"/>
  <c r="I16" i="18"/>
  <c r="I26" i="18" s="1"/>
  <c r="I27" i="18" s="1"/>
  <c r="E27" i="18" l="1"/>
  <c r="E30" i="18" s="1"/>
  <c r="E29" i="18"/>
  <c r="K35" i="4"/>
  <c r="K36" i="4" s="1"/>
  <c r="K19" i="7" s="1"/>
  <c r="J8" i="20"/>
  <c r="F4" i="18"/>
  <c r="F24" i="18" s="1"/>
  <c r="F35" i="7"/>
  <c r="F36" i="7" s="1"/>
  <c r="G18" i="7"/>
  <c r="F15" i="7"/>
  <c r="F28" i="7"/>
  <c r="F30" i="7" s="1"/>
  <c r="F7" i="13"/>
  <c r="F9" i="13" s="1"/>
  <c r="F11" i="13" s="1"/>
  <c r="F13" i="13" s="1"/>
  <c r="F14" i="13" s="1"/>
  <c r="G33" i="4" s="1"/>
  <c r="F14" i="18" s="1"/>
  <c r="C31" i="14"/>
  <c r="E31" i="14" s="1"/>
  <c r="J16" i="18"/>
  <c r="J26" i="18" s="1"/>
  <c r="J27" i="18" s="1"/>
  <c r="F25" i="18" l="1"/>
  <c r="F13" i="18"/>
  <c r="F15" i="18" s="1"/>
  <c r="C32" i="14"/>
  <c r="E32" i="14" s="1"/>
  <c r="G34" i="4"/>
  <c r="F8" i="20" s="1"/>
  <c r="G35" i="4" l="1"/>
  <c r="F16" i="18" s="1"/>
  <c r="H25" i="4"/>
  <c r="H27" i="4" s="1"/>
  <c r="H22" i="7"/>
  <c r="H41" i="7" s="1"/>
  <c r="C33" i="14"/>
  <c r="E33" i="14" s="1"/>
  <c r="F17" i="18" l="1"/>
  <c r="F19" i="18" s="1"/>
  <c r="G14" i="7" s="1"/>
  <c r="F26" i="18"/>
  <c r="G36" i="4"/>
  <c r="G19" i="7" s="1"/>
  <c r="G21" i="7" s="1"/>
  <c r="G25" i="7" s="1"/>
  <c r="H46" i="7"/>
  <c r="H48" i="7" s="1"/>
  <c r="H50" i="7" s="1"/>
  <c r="H29" i="4"/>
  <c r="H32" i="4" s="1"/>
  <c r="G7" i="20" s="1"/>
  <c r="G12" i="18"/>
  <c r="C34" i="14"/>
  <c r="E34" i="14" s="1"/>
  <c r="H42" i="7"/>
  <c r="F43" i="7" s="1"/>
  <c r="H34" i="7"/>
  <c r="F27" i="18" l="1"/>
  <c r="F30" i="18" s="1"/>
  <c r="F29" i="18"/>
  <c r="G4" i="18"/>
  <c r="G24" i="18" s="1"/>
  <c r="G35" i="7"/>
  <c r="G36" i="7" s="1"/>
  <c r="H18" i="7"/>
  <c r="C35" i="14"/>
  <c r="E35" i="14" s="1"/>
  <c r="G28" i="7"/>
  <c r="G30" i="7" s="1"/>
  <c r="G15" i="7"/>
  <c r="G7" i="13"/>
  <c r="G9" i="13" s="1"/>
  <c r="G11" i="13" s="1"/>
  <c r="G13" i="13" s="1"/>
  <c r="G14" i="13" s="1"/>
  <c r="H33" i="4" s="1"/>
  <c r="G14" i="18" s="1"/>
  <c r="G25" i="18" l="1"/>
  <c r="G13" i="18"/>
  <c r="G15" i="18" s="1"/>
  <c r="H34" i="4"/>
  <c r="G8" i="20" s="1"/>
  <c r="C36" i="14"/>
  <c r="E36" i="14" s="1"/>
  <c r="I25" i="4" l="1"/>
  <c r="I27" i="4" s="1"/>
  <c r="H35" i="4"/>
  <c r="G16" i="18" s="1"/>
  <c r="G17" i="18" l="1"/>
  <c r="G19" i="18" s="1"/>
  <c r="H4" i="18" s="1"/>
  <c r="H24" i="18" s="1"/>
  <c r="G26" i="18"/>
  <c r="H36" i="4"/>
  <c r="H19" i="7" s="1"/>
  <c r="H21" i="7" s="1"/>
  <c r="H35" i="7" s="1"/>
  <c r="H36" i="7" s="1"/>
  <c r="I29" i="4"/>
  <c r="I32" i="4" s="1"/>
  <c r="H7" i="20" s="1"/>
  <c r="H12" i="18"/>
  <c r="I46" i="7"/>
  <c r="I48" i="7" s="1"/>
  <c r="I50" i="7" s="1"/>
  <c r="G27" i="18" l="1"/>
  <c r="G30" i="18" s="1"/>
  <c r="G29" i="18"/>
  <c r="H25" i="18"/>
  <c r="H14" i="7"/>
  <c r="H15" i="7" s="1"/>
  <c r="H25" i="7"/>
  <c r="I18" i="7"/>
  <c r="H7" i="13"/>
  <c r="H9" i="13" s="1"/>
  <c r="H11" i="13" s="1"/>
  <c r="H13" i="13" s="1"/>
  <c r="H14" i="13" s="1"/>
  <c r="I33" i="4" s="1"/>
  <c r="H14" i="18" s="1"/>
  <c r="H13" i="18"/>
  <c r="H28" i="7" l="1"/>
  <c r="H30" i="7" s="1"/>
  <c r="H15" i="18"/>
  <c r="I34" i="4"/>
  <c r="H8" i="20" s="1"/>
  <c r="I35" i="4" l="1"/>
  <c r="H16" i="18" s="1"/>
  <c r="H17" i="18" l="1"/>
  <c r="H19" i="18" s="1"/>
  <c r="I14" i="7" s="1"/>
  <c r="H26" i="18"/>
  <c r="I36" i="4"/>
  <c r="I19" i="7" s="1"/>
  <c r="I21" i="7" s="1"/>
  <c r="I25" i="7" s="1"/>
  <c r="H27" i="18" l="1"/>
  <c r="H30" i="18" s="1"/>
  <c r="H31" i="18" s="1"/>
  <c r="H29" i="18"/>
  <c r="I4" i="18"/>
  <c r="I13" i="18" s="1"/>
  <c r="I15" i="18" s="1"/>
  <c r="I17" i="18" s="1"/>
  <c r="I19" i="18" s="1"/>
  <c r="J4" i="18" s="1"/>
  <c r="I35" i="7"/>
  <c r="I36" i="7" s="1"/>
  <c r="J18" i="7"/>
  <c r="J21" i="7" s="1"/>
  <c r="K18" i="7" s="1"/>
  <c r="K21" i="7" s="1"/>
  <c r="I15" i="7"/>
  <c r="I28" i="7"/>
  <c r="I30" i="7" s="1"/>
  <c r="I24" i="18" l="1"/>
  <c r="I29" i="18" s="1"/>
  <c r="J14" i="7"/>
  <c r="J28" i="7" s="1"/>
  <c r="J30" i="7" s="1"/>
  <c r="J13" i="18"/>
  <c r="J15" i="18" s="1"/>
  <c r="J17" i="18" s="1"/>
  <c r="J19" i="18" s="1"/>
  <c r="K14" i="7" s="1"/>
  <c r="K15" i="7" s="1"/>
  <c r="J24" i="18"/>
  <c r="J29" i="18" s="1"/>
  <c r="J25" i="7"/>
  <c r="J35" i="7"/>
  <c r="J36" i="7" s="1"/>
  <c r="K35" i="7"/>
  <c r="K36" i="7" s="1"/>
  <c r="K25" i="7"/>
  <c r="J15" i="7" l="1"/>
  <c r="J25" i="18"/>
  <c r="J30" i="18" s="1"/>
  <c r="F37" i="7"/>
  <c r="I25" i="18"/>
  <c r="I30" i="18" s="1"/>
  <c r="K28" i="7"/>
  <c r="K30" i="7" s="1"/>
  <c r="F31" i="7" s="1"/>
</calcChain>
</file>

<file path=xl/sharedStrings.xml><?xml version="1.0" encoding="utf-8"?>
<sst xmlns="http://schemas.openxmlformats.org/spreadsheetml/2006/main" count="436" uniqueCount="309">
  <si>
    <t>Annexure 1 - Estimated cost of the project</t>
  </si>
  <si>
    <t>Estimated cost of project</t>
  </si>
  <si>
    <t xml:space="preserve">Sr. No. </t>
  </si>
  <si>
    <t>Particulars</t>
  </si>
  <si>
    <t>Grand Total (in lakhs)</t>
  </si>
  <si>
    <t>(a)</t>
  </si>
  <si>
    <t>Land and site development</t>
  </si>
  <si>
    <t>Land (Lease in name of company)</t>
  </si>
  <si>
    <t>Total</t>
  </si>
  <si>
    <t>Civil Work</t>
  </si>
  <si>
    <t>Plant and Machinery (indegenous)</t>
  </si>
  <si>
    <t>Plant and Machinery</t>
  </si>
  <si>
    <t>Miscellanoeus Fixed Assets</t>
  </si>
  <si>
    <t>Cost</t>
  </si>
  <si>
    <t>Working Capital Margin</t>
  </si>
  <si>
    <t>Preliminary Expenses</t>
  </si>
  <si>
    <t>Security Deposit</t>
  </si>
  <si>
    <t>Pre-Operative Expense</t>
  </si>
  <si>
    <t>(for 6 months upto the date od commencement of commercial production)</t>
  </si>
  <si>
    <t>Establisment and Travelling and Other Expenses</t>
  </si>
  <si>
    <t>(b)</t>
  </si>
  <si>
    <t>Legal and Misc Expense</t>
  </si>
  <si>
    <t>Total Cost of Project</t>
  </si>
  <si>
    <t>Annexure 2 - Means of Finance</t>
  </si>
  <si>
    <t>Sr. No.</t>
  </si>
  <si>
    <t>Item</t>
  </si>
  <si>
    <t>Promoter's equity</t>
  </si>
  <si>
    <t>Eligible Assistance</t>
  </si>
  <si>
    <t>Term Loan</t>
  </si>
  <si>
    <t>CC Limit</t>
  </si>
  <si>
    <t>Annexure 3 - Complete Estimate of Civil and Plant and Machinery</t>
  </si>
  <si>
    <t>Units</t>
  </si>
  <si>
    <t>Amt</t>
  </si>
  <si>
    <t>2. Plant and machinery</t>
  </si>
  <si>
    <t>Total Plant and Machinery</t>
  </si>
  <si>
    <t>Total fixed Assets</t>
  </si>
  <si>
    <t>Annexure 4 - Estimated Cost of Production</t>
  </si>
  <si>
    <t>Sr. No</t>
  </si>
  <si>
    <t>Description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</si>
  <si>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</si>
  <si>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</si>
  <si>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</si>
  <si>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</si>
  <si>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</si>
  <si>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</si>
  <si>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</si>
  <si>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</si>
  <si>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</si>
  <si>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Year ending March 31st</t>
  </si>
  <si>
    <t>No of Working months</t>
  </si>
  <si>
    <t>Sales</t>
  </si>
  <si>
    <t>Administrative salaries and wages</t>
  </si>
  <si>
    <t>S. No.</t>
  </si>
  <si>
    <t>Designation</t>
  </si>
  <si>
    <t>In no.</t>
  </si>
  <si>
    <t>Salary per person per month</t>
  </si>
  <si>
    <t>Monthly cost</t>
  </si>
  <si>
    <t>i.</t>
  </si>
  <si>
    <t>ii.</t>
  </si>
  <si>
    <t>Total annual wages</t>
  </si>
  <si>
    <t>Annual increase in wages</t>
  </si>
  <si>
    <t>Accountant</t>
  </si>
  <si>
    <t>iii.</t>
  </si>
  <si>
    <t>Computation of Depreciation</t>
  </si>
  <si>
    <t>Annexure 9 - Computation of Depreciation</t>
  </si>
  <si>
    <t>Pre operatives</t>
  </si>
  <si>
    <t>Contingencies</t>
  </si>
  <si>
    <t>Building and civil work</t>
  </si>
  <si>
    <t>Misc Fixed Asset</t>
  </si>
  <si>
    <t>Amount in lakhs</t>
  </si>
  <si>
    <t>Rates of Depreciation</t>
  </si>
  <si>
    <t>Year</t>
  </si>
  <si>
    <t>Annexure 11- Break even analysis (At maximum capacity utilization)</t>
  </si>
  <si>
    <t>Break even capacity at maximum capacity utilixzation</t>
  </si>
  <si>
    <t>Variable cost</t>
  </si>
  <si>
    <t>- Running and maintenance cost</t>
  </si>
  <si>
    <t>- Selling cost</t>
  </si>
  <si>
    <t>- Interest on Working capital</t>
  </si>
  <si>
    <t>Contribution</t>
  </si>
  <si>
    <t>Less: fixed cost</t>
  </si>
  <si>
    <t>Wages and salaries</t>
  </si>
  <si>
    <t>- electricity expense</t>
  </si>
  <si>
    <t>Transportation expense</t>
  </si>
  <si>
    <t>Office expense</t>
  </si>
  <si>
    <t>Depreciation</t>
  </si>
  <si>
    <t>1. Interest on working capital is computed taking 6% rate of interest p.a.</t>
  </si>
  <si>
    <t>2. Office expenses are fixed with annual increase 2% annually</t>
  </si>
  <si>
    <t>3. selling expenses are variable expenses, incurred Rs. 2 per kg of output sold</t>
  </si>
  <si>
    <t>Office Electricity expense</t>
  </si>
  <si>
    <t>4. Office electricity expenses are fixed at Rs. 2 lakhs, while peoduction electricity expenses are variable</t>
  </si>
  <si>
    <t>Fixed cost</t>
  </si>
  <si>
    <t>Electricity charges</t>
  </si>
  <si>
    <t>selling expenses</t>
  </si>
  <si>
    <t>Interest on Working capital</t>
  </si>
  <si>
    <t>Running and maintenance cost</t>
  </si>
  <si>
    <t>Procurement cost of vegetable and fruit</t>
  </si>
  <si>
    <t>Sales price per kg</t>
  </si>
  <si>
    <t>Annexure 12 - Profitability statement</t>
  </si>
  <si>
    <t>Years</t>
  </si>
  <si>
    <t>Vegetable procument expense</t>
  </si>
  <si>
    <t>Fruits procurement expense</t>
  </si>
  <si>
    <t>Direct Expenses</t>
  </si>
  <si>
    <t>Cost of Sales</t>
  </si>
  <si>
    <t>Expected sales revenue</t>
  </si>
  <si>
    <t>Gross Profit</t>
  </si>
  <si>
    <t>Financial expense</t>
  </si>
  <si>
    <t>Interest on Term Loan</t>
  </si>
  <si>
    <t>Annexure 13 - Repayment schedule</t>
  </si>
  <si>
    <t>Repayment schedule</t>
  </si>
  <si>
    <t>Amount of Loan (in lakhs)</t>
  </si>
  <si>
    <t>Rate of interest</t>
  </si>
  <si>
    <t>Moratorium period</t>
  </si>
  <si>
    <t>Quarter</t>
  </si>
  <si>
    <t>Balance outstanding</t>
  </si>
  <si>
    <t>Interest</t>
  </si>
  <si>
    <t>Principal instalment</t>
  </si>
  <si>
    <t>total</t>
  </si>
  <si>
    <t>Operating profits (PBT)</t>
  </si>
  <si>
    <t>depreciation</t>
  </si>
  <si>
    <t>Net Profit before Tax</t>
  </si>
  <si>
    <t>Income Tax</t>
  </si>
  <si>
    <t>Profits after Tax</t>
  </si>
  <si>
    <t>Distribution of profits (80%)</t>
  </si>
  <si>
    <t>Annexure 10 - Calculation of Income tax</t>
  </si>
  <si>
    <t>Calculation of Income Tax</t>
  </si>
  <si>
    <t>Net profit before tax</t>
  </si>
  <si>
    <t>Add- dep on SLM</t>
  </si>
  <si>
    <t>Sub total</t>
  </si>
  <si>
    <t>Less- Dep on WDV</t>
  </si>
  <si>
    <t>Less - Deductions</t>
  </si>
  <si>
    <t>Taxable profits</t>
  </si>
  <si>
    <t>Income tax @30%</t>
  </si>
  <si>
    <t>Profit transfer to balance sheet</t>
  </si>
  <si>
    <t>Annexure 5- Projected balance sheet</t>
  </si>
  <si>
    <t>Projected Baalance sheet</t>
  </si>
  <si>
    <t>Asset</t>
  </si>
  <si>
    <t>Fixed Capital expenditure</t>
  </si>
  <si>
    <t>Gross Block</t>
  </si>
  <si>
    <t>Less- Depreciation</t>
  </si>
  <si>
    <t>net Block</t>
  </si>
  <si>
    <t>Sundry debtors</t>
  </si>
  <si>
    <t>Cash/ bank balance</t>
  </si>
  <si>
    <t>Liabilities</t>
  </si>
  <si>
    <t>Capital</t>
  </si>
  <si>
    <t>Add- Profit</t>
  </si>
  <si>
    <t>Less- Drawings</t>
  </si>
  <si>
    <t>Closing capital</t>
  </si>
  <si>
    <t>term Loan</t>
  </si>
  <si>
    <t>Total liabilities</t>
  </si>
  <si>
    <t>Total assets</t>
  </si>
  <si>
    <t>Current Ratio</t>
  </si>
  <si>
    <t>Current Assets</t>
  </si>
  <si>
    <t>Current Liabilities</t>
  </si>
  <si>
    <t>2. assumed that 30 days of sales are average debtors maintained by the business</t>
  </si>
  <si>
    <t>Debt Equity ratio</t>
  </si>
  <si>
    <t>Debt</t>
  </si>
  <si>
    <t>Equity</t>
  </si>
  <si>
    <t>Ratio</t>
  </si>
  <si>
    <t>cash flow statement</t>
  </si>
  <si>
    <t>Sales realized</t>
  </si>
  <si>
    <t>Term loan</t>
  </si>
  <si>
    <t>assisstance</t>
  </si>
  <si>
    <t>less- Purchase of assets</t>
  </si>
  <si>
    <t>Debt service coverage ratio</t>
  </si>
  <si>
    <t>Interest on loan (TL + WC)</t>
  </si>
  <si>
    <t>Net operating income</t>
  </si>
  <si>
    <t>ratio</t>
  </si>
  <si>
    <t>Instalment of loan</t>
  </si>
  <si>
    <t>A</t>
  </si>
  <si>
    <t>B</t>
  </si>
  <si>
    <t>assumptions</t>
  </si>
  <si>
    <t>Average</t>
  </si>
  <si>
    <t>Fixed asset coverage ratio</t>
  </si>
  <si>
    <t>Fixed assets</t>
  </si>
  <si>
    <t>6 months</t>
  </si>
  <si>
    <t>Annexure 8 - Details of Mnpower</t>
  </si>
  <si>
    <t>Details of Manpower</t>
  </si>
  <si>
    <t>Security</t>
  </si>
  <si>
    <t>Creditors</t>
  </si>
  <si>
    <t>Total manpower</t>
  </si>
  <si>
    <t>opening balance</t>
  </si>
  <si>
    <t>Add: Sales realizations</t>
  </si>
  <si>
    <t>Less: Interest payments</t>
  </si>
  <si>
    <t>Add: benefits @ 20%</t>
  </si>
  <si>
    <t>Working capital</t>
  </si>
  <si>
    <t>Interest on WC Loan</t>
  </si>
  <si>
    <t>E mandi expense</t>
  </si>
  <si>
    <t>Site Development</t>
  </si>
  <si>
    <t>Sales Budget</t>
  </si>
  <si>
    <t>Production capacity utilization</t>
  </si>
  <si>
    <t>Sales qty</t>
  </si>
  <si>
    <t>Production budget</t>
  </si>
  <si>
    <t>Production capacity</t>
  </si>
  <si>
    <t>kg per hr</t>
  </si>
  <si>
    <t>Production hours in a year</t>
  </si>
  <si>
    <t>hours</t>
  </si>
  <si>
    <t>Production qty in a year</t>
  </si>
  <si>
    <t>kgs</t>
  </si>
  <si>
    <t>Products</t>
  </si>
  <si>
    <t>Production at 100% capacity</t>
  </si>
  <si>
    <t>sales prices per kg in year I</t>
  </si>
  <si>
    <t>purchase prices per kg in year I</t>
  </si>
  <si>
    <t>Opening Stock</t>
  </si>
  <si>
    <t>Add: Production</t>
  </si>
  <si>
    <t>Less: Sales</t>
  </si>
  <si>
    <t>Closing Stock</t>
  </si>
  <si>
    <t>Assumptions:</t>
  </si>
  <si>
    <t>Output</t>
  </si>
  <si>
    <t>Production qty</t>
  </si>
  <si>
    <t>Purchase of raw material input</t>
  </si>
  <si>
    <t>1. assumed that 10% of the output is normal loss in production processs</t>
  </si>
  <si>
    <t>Electricity expense</t>
  </si>
  <si>
    <t>Usage in units</t>
  </si>
  <si>
    <t>2. interest on working capital is assumed to be 10% p.a.</t>
  </si>
  <si>
    <t>4. Electricity usage in units is given below</t>
  </si>
  <si>
    <t>Cost of Production</t>
  </si>
  <si>
    <t>Add: Opening stock</t>
  </si>
  <si>
    <t>Less: Closing stock</t>
  </si>
  <si>
    <t>- Procurement cost of inputs</t>
  </si>
  <si>
    <t>Sub Total</t>
  </si>
  <si>
    <t>Selling expenses @ Rs. 2.5 per kg</t>
  </si>
  <si>
    <t>Output stock calculation</t>
  </si>
  <si>
    <t>Total depreciation for the year</t>
  </si>
  <si>
    <t>Machine operators</t>
  </si>
  <si>
    <t>Preliminary Expense</t>
  </si>
  <si>
    <t>Cash flow statement</t>
  </si>
  <si>
    <t>Less: Payment made to creditors of previos year</t>
  </si>
  <si>
    <t>Add: Receipts from debtors of previos year</t>
  </si>
  <si>
    <t>Less: Payments made for current year purchase</t>
  </si>
  <si>
    <t>Less: Distrubutions made from profits</t>
  </si>
  <si>
    <t>Less: Income tax</t>
  </si>
  <si>
    <t>Less: Principal repayment of loan</t>
  </si>
  <si>
    <t>Closing cash balance</t>
  </si>
  <si>
    <t>Fertilizer Pilot Granulator Machine 3mm 1 Ton/Hr</t>
  </si>
  <si>
    <t>Fertilizer Pilot Granulator Machine 2mm 0.5 Ton/Hr</t>
  </si>
  <si>
    <t>fertilizer Shaper Machine</t>
  </si>
  <si>
    <t>Fertilizer Ribbon Blender Mixer Machine</t>
  </si>
  <si>
    <t>Fertilizer High-Speed Crusher Machine</t>
  </si>
  <si>
    <t>Fertilizer Rotary Screener Machine</t>
  </si>
  <si>
    <t>Fertilizer Conveyor Belt</t>
  </si>
  <si>
    <t>Fertilizer Hopper 200kg</t>
  </si>
  <si>
    <t>Fertilizer Weight Machine</t>
  </si>
  <si>
    <t>Fertilizer Bag Closer Machine</t>
  </si>
  <si>
    <t>Fertilizer Box Packing Machine</t>
  </si>
  <si>
    <t>Fertilizer Dryer System</t>
  </si>
  <si>
    <t>Fertilizer De-Watering Machine</t>
  </si>
  <si>
    <t>QC and Testing equipments</t>
  </si>
  <si>
    <t>Power Generator Set 15KVA</t>
  </si>
  <si>
    <t>Control Panel</t>
  </si>
  <si>
    <t>Ouput available for sale</t>
  </si>
  <si>
    <t>2. assumed that 99% of production is sold for first 5 years, thereafter demand is almost 101% of output but we are able to serve market according to the availablility of output</t>
  </si>
  <si>
    <t>Running and Manintenance expense @2.5% of procurement cost</t>
  </si>
  <si>
    <t>3. Electricity are semi-fixed cost. Rs. 1,10,000 pa is fixed, balance is variable at Rs. 12 per unit usage</t>
  </si>
  <si>
    <t xml:space="preserve">Depreciation is taken to be Written </t>
  </si>
  <si>
    <t>PV dicounting rate</t>
  </si>
  <si>
    <t>PVF</t>
  </si>
  <si>
    <t>Inflows</t>
  </si>
  <si>
    <t>PV of Inflows</t>
  </si>
  <si>
    <t>Outflows</t>
  </si>
  <si>
    <t>PV of Outflows</t>
  </si>
  <si>
    <t>Net cash inflow</t>
  </si>
  <si>
    <t>Net Present value</t>
  </si>
  <si>
    <t>5. Closing stock is valued at Rs. 38 per kg</t>
  </si>
  <si>
    <t>1. Sales price per kg of output is 50, expected to increase 7% per annum</t>
  </si>
  <si>
    <t>Turnover</t>
  </si>
  <si>
    <t>Cost Of operations</t>
  </si>
  <si>
    <t>Gross profit</t>
  </si>
  <si>
    <t>EBITDA</t>
  </si>
  <si>
    <t>Profit before tax</t>
  </si>
  <si>
    <t>Profit after tax</t>
  </si>
  <si>
    <t>Contribution per kg</t>
  </si>
  <si>
    <t>Rs. per kg</t>
  </si>
  <si>
    <t>BEP in kgs</t>
  </si>
  <si>
    <t>Total BEP %</t>
  </si>
  <si>
    <t>Interest on TL</t>
  </si>
  <si>
    <t>DPR without subsidy</t>
  </si>
  <si>
    <t>Add: Capital</t>
  </si>
  <si>
    <t>Add: Loan disbursement</t>
  </si>
  <si>
    <t>Less: Purchase of asset</t>
  </si>
  <si>
    <t>IRR</t>
  </si>
  <si>
    <t>Contents Table</t>
  </si>
  <si>
    <t>Contents</t>
  </si>
  <si>
    <t>Link</t>
  </si>
  <si>
    <t>Ann 1'!A1</t>
  </si>
  <si>
    <t>Ann 2'!A1</t>
  </si>
  <si>
    <t>Ann 3'!A1</t>
  </si>
  <si>
    <t>Ann 4'!A1</t>
  </si>
  <si>
    <t>Ann 5'!A1</t>
  </si>
  <si>
    <t>Ann 6'!A1</t>
  </si>
  <si>
    <t>Ann 7'!A1</t>
  </si>
  <si>
    <t>Ann 8'!A1</t>
  </si>
  <si>
    <t>Ann 9'!A1</t>
  </si>
  <si>
    <t>Ann 10'!A1</t>
  </si>
  <si>
    <t>Ann 11'!A1</t>
  </si>
  <si>
    <t>Ann 13'!A1</t>
  </si>
  <si>
    <t>Assumptions!A1</t>
  </si>
  <si>
    <t>Budgets!A1</t>
  </si>
  <si>
    <t>S. no.</t>
  </si>
  <si>
    <t>Assumptions</t>
  </si>
  <si>
    <t>Electricity are semi-fixed cost. Rs. 1,10,000 pa is fixed, balance is variable at Rs. 12 per unit usage</t>
  </si>
  <si>
    <t>Electricity usage in units is given below</t>
  </si>
  <si>
    <t>Closing stock is valued at Rs. 38 per kg</t>
  </si>
  <si>
    <t>It is assumed that 30 days of sales are average debtors maintained by the business</t>
  </si>
  <si>
    <t>Assumed that 30 days of sales are average debtors maintained by the business</t>
  </si>
  <si>
    <t>Interest on working capital is assumed to be 10% p.a.</t>
  </si>
  <si>
    <t>It is assumed that 10% of the output is normal loss in production processs</t>
  </si>
  <si>
    <t>Cash flows'!A1</t>
  </si>
  <si>
    <t>1. asssumed that 60 days of purchases are average creditors maintained</t>
  </si>
  <si>
    <t>Asssumed that 60 days of purchases are average creditors maintained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</si>
</sst>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_);_(@_)"/>
    <numFmt numFmtId="166" formatCode="_(* #,##0.000000000_);_(* \(#,##0.000000000\);_(* &quot;-&quot;??_);_(@_)"/>
    <numFmt numFmtId="167" formatCode="0.000"/>
    <numFmt numFmtId="169" formatCode="_(* #,##0.0000_);_(* \(#,##0.00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06">
    <xf numFmtId="0" fontId="0" fillId="0" borderId="0" xfId="0"/>
    <xf numFmtId="0" fontId="0" fillId="0" borderId="0" xfId="0" applyAlignment="1">
      <alignment horizontal="left"/>
    </xf>
    <xf numFmtId="2" fontId="0" fillId="0" borderId="0" xfId="0" applyNumberFormat="1"/>
    <xf numFmtId="0" fontId="3" fillId="0" borderId="0" xfId="0" applyFont="1"/>
    <xf numFmtId="0" fontId="0" fillId="0" borderId="3" xfId="0" applyBorder="1"/>
    <xf numFmtId="0" fontId="0" fillId="0" borderId="0" xfId="0" applyBorder="1"/>
    <xf numFmtId="0" fontId="0" fillId="0" borderId="9" xfId="0" applyBorder="1"/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1" xfId="0" applyBorder="1"/>
    <xf numFmtId="0" fontId="0" fillId="0" borderId="11" xfId="0" applyBorder="1" applyAlignment="1">
      <alignment wrapText="1"/>
    </xf>
    <xf numFmtId="0" fontId="0" fillId="0" borderId="12" xfId="0" applyBorder="1"/>
    <xf numFmtId="0" fontId="0" fillId="0" borderId="1" xfId="0" applyBorder="1"/>
    <xf numFmtId="0" fontId="0" fillId="0" borderId="2" xfId="0" applyBorder="1"/>
    <xf numFmtId="0" fontId="0" fillId="0" borderId="8" xfId="0" applyBorder="1"/>
    <xf numFmtId="164" fontId="0" fillId="0" borderId="0" xfId="1" applyNumberFormat="1" applyFont="1"/>
    <xf numFmtId="164" fontId="0" fillId="0" borderId="0" xfId="0" applyNumberFormat="1"/>
    <xf numFmtId="164" fontId="0" fillId="0" borderId="0" xfId="1" applyNumberFormat="1" applyFont="1" applyBorder="1"/>
    <xf numFmtId="164" fontId="0" fillId="0" borderId="9" xfId="1" applyNumberFormat="1" applyFont="1" applyBorder="1"/>
    <xf numFmtId="0" fontId="2" fillId="0" borderId="2" xfId="0" applyFont="1" applyBorder="1"/>
    <xf numFmtId="0" fontId="2" fillId="0" borderId="3" xfId="0" applyFont="1" applyBorder="1"/>
    <xf numFmtId="164" fontId="2" fillId="0" borderId="4" xfId="0" applyNumberFormat="1" applyFont="1" applyBorder="1"/>
    <xf numFmtId="0" fontId="2" fillId="0" borderId="0" xfId="0" applyFont="1"/>
    <xf numFmtId="0" fontId="0" fillId="0" borderId="0" xfId="0" quotePrefix="1"/>
    <xf numFmtId="43" fontId="0" fillId="0" borderId="0" xfId="0" applyNumberFormat="1"/>
    <xf numFmtId="9" fontId="0" fillId="0" borderId="0" xfId="0" applyNumberFormat="1"/>
    <xf numFmtId="43" fontId="0" fillId="0" borderId="9" xfId="1" applyNumberFormat="1" applyFont="1" applyBorder="1"/>
    <xf numFmtId="43" fontId="0" fillId="0" borderId="9" xfId="0" applyNumberFormat="1" applyBorder="1"/>
    <xf numFmtId="43" fontId="0" fillId="0" borderId="10" xfId="0" applyNumberFormat="1" applyBorder="1"/>
    <xf numFmtId="0" fontId="0" fillId="0" borderId="0" xfId="0" applyAlignment="1">
      <alignment horizontal="right"/>
    </xf>
    <xf numFmtId="164" fontId="0" fillId="0" borderId="1" xfId="1" applyNumberFormat="1" applyFont="1" applyBorder="1"/>
    <xf numFmtId="0" fontId="3" fillId="2" borderId="2" xfId="0" applyFont="1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2" borderId="2" xfId="0" applyFill="1" applyBorder="1"/>
    <xf numFmtId="43" fontId="0" fillId="0" borderId="4" xfId="0" applyNumberFormat="1" applyBorder="1"/>
    <xf numFmtId="0" fontId="0" fillId="2" borderId="6" xfId="0" applyFill="1" applyBorder="1"/>
    <xf numFmtId="0" fontId="0" fillId="0" borderId="0" xfId="0" applyBorder="1" applyAlignment="1">
      <alignment horizontal="left"/>
    </xf>
    <xf numFmtId="164" fontId="0" fillId="0" borderId="1" xfId="0" applyNumberFormat="1" applyBorder="1"/>
    <xf numFmtId="0" fontId="0" fillId="0" borderId="1" xfId="0" applyFill="1" applyBorder="1"/>
    <xf numFmtId="10" fontId="0" fillId="0" borderId="0" xfId="2" applyNumberFormat="1" applyFont="1"/>
    <xf numFmtId="0" fontId="0" fillId="0" borderId="5" xfId="0" applyBorder="1"/>
    <xf numFmtId="0" fontId="2" fillId="0" borderId="6" xfId="0" applyFont="1" applyBorder="1"/>
    <xf numFmtId="0" fontId="0" fillId="0" borderId="6" xfId="0" applyBorder="1"/>
    <xf numFmtId="0" fontId="0" fillId="0" borderId="7" xfId="0" applyBorder="1"/>
    <xf numFmtId="164" fontId="0" fillId="0" borderId="9" xfId="0" applyNumberFormat="1" applyBorder="1"/>
    <xf numFmtId="0" fontId="2" fillId="0" borderId="0" xfId="0" applyFont="1" applyBorder="1"/>
    <xf numFmtId="0" fontId="0" fillId="0" borderId="13" xfId="0" applyBorder="1"/>
    <xf numFmtId="0" fontId="0" fillId="0" borderId="14" xfId="0" applyBorder="1"/>
    <xf numFmtId="0" fontId="0" fillId="0" borderId="10" xfId="0" applyBorder="1"/>
    <xf numFmtId="164" fontId="0" fillId="0" borderId="10" xfId="0" applyNumberFormat="1" applyBorder="1"/>
    <xf numFmtId="164" fontId="0" fillId="0" borderId="4" xfId="0" applyNumberFormat="1" applyBorder="1"/>
    <xf numFmtId="43" fontId="0" fillId="0" borderId="1" xfId="1" applyFont="1" applyBorder="1"/>
    <xf numFmtId="0" fontId="0" fillId="0" borderId="15" xfId="0" applyBorder="1"/>
    <xf numFmtId="164" fontId="0" fillId="0" borderId="11" xfId="0" applyNumberFormat="1" applyBorder="1"/>
    <xf numFmtId="164" fontId="0" fillId="0" borderId="11" xfId="1" applyNumberFormat="1" applyFont="1" applyBorder="1"/>
    <xf numFmtId="43" fontId="0" fillId="0" borderId="11" xfId="0" applyNumberFormat="1" applyBorder="1"/>
    <xf numFmtId="0" fontId="0" fillId="0" borderId="0" xfId="0" applyFill="1" applyBorder="1"/>
    <xf numFmtId="0" fontId="0" fillId="2" borderId="8" xfId="0" applyFill="1" applyBorder="1"/>
    <xf numFmtId="0" fontId="0" fillId="2" borderId="0" xfId="0" applyFill="1" applyBorder="1"/>
    <xf numFmtId="0" fontId="0" fillId="2" borderId="11" xfId="0" applyFill="1" applyBorder="1"/>
    <xf numFmtId="0" fontId="0" fillId="2" borderId="9" xfId="0" applyFill="1" applyBorder="1"/>
    <xf numFmtId="164" fontId="0" fillId="2" borderId="9" xfId="0" applyNumberFormat="1" applyFill="1" applyBorder="1"/>
    <xf numFmtId="2" fontId="0" fillId="0" borderId="1" xfId="0" applyNumberFormat="1" applyBorder="1"/>
    <xf numFmtId="43" fontId="0" fillId="0" borderId="9" xfId="1" applyFont="1" applyBorder="1"/>
    <xf numFmtId="164" fontId="0" fillId="0" borderId="8" xfId="0" applyNumberFormat="1" applyFill="1" applyBorder="1"/>
    <xf numFmtId="0" fontId="4" fillId="0" borderId="0" xfId="0" applyFont="1"/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Border="1" applyAlignment="1">
      <alignment vertical="top" wrapText="1"/>
    </xf>
    <xf numFmtId="9" fontId="0" fillId="0" borderId="1" xfId="0" applyNumberFormat="1" applyBorder="1"/>
    <xf numFmtId="1" fontId="0" fillId="0" borderId="1" xfId="0" applyNumberFormat="1" applyBorder="1"/>
    <xf numFmtId="164" fontId="0" fillId="0" borderId="1" xfId="0" applyNumberFormat="1" applyBorder="1" applyAlignment="1">
      <alignment vertical="top"/>
    </xf>
    <xf numFmtId="165" fontId="0" fillId="0" borderId="1" xfId="0" applyNumberFormat="1" applyBorder="1" applyAlignment="1">
      <alignment vertical="top" wrapText="1"/>
    </xf>
    <xf numFmtId="0" fontId="0" fillId="0" borderId="1" xfId="0" applyBorder="1" applyAlignment="1">
      <alignment horizontal="left"/>
    </xf>
    <xf numFmtId="0" fontId="0" fillId="2" borderId="4" xfId="0" applyFont="1" applyFill="1" applyBorder="1"/>
    <xf numFmtId="164" fontId="0" fillId="0" borderId="0" xfId="1" applyNumberFormat="1" applyFont="1" applyBorder="1" applyAlignment="1">
      <alignment horizontal="left"/>
    </xf>
    <xf numFmtId="167" fontId="0" fillId="0" borderId="0" xfId="0" applyNumberFormat="1"/>
    <xf numFmtId="0" fontId="0" fillId="0" borderId="1" xfId="0" applyBorder="1" applyAlignment="1">
      <alignment horizontal="right"/>
    </xf>
    <xf numFmtId="43" fontId="0" fillId="0" borderId="1" xfId="0" applyNumberFormat="1" applyBorder="1"/>
    <xf numFmtId="2" fontId="0" fillId="0" borderId="0" xfId="2" applyNumberFormat="1" applyFont="1"/>
    <xf numFmtId="0" fontId="5" fillId="0" borderId="0" xfId="0" applyFont="1"/>
    <xf numFmtId="0" fontId="4" fillId="2" borderId="1" xfId="0" applyFont="1" applyFill="1" applyBorder="1"/>
    <xf numFmtId="0" fontId="4" fillId="0" borderId="1" xfId="0" applyFont="1" applyBorder="1"/>
    <xf numFmtId="164" fontId="4" fillId="0" borderId="1" xfId="1" applyNumberFormat="1" applyFont="1" applyBorder="1"/>
    <xf numFmtId="0" fontId="2" fillId="0" borderId="1" xfId="0" applyFont="1" applyBorder="1"/>
    <xf numFmtId="0" fontId="6" fillId="0" borderId="1" xfId="3" quotePrefix="1" applyBorder="1"/>
    <xf numFmtId="0" fontId="6" fillId="0" borderId="1" xfId="3" applyBorder="1"/>
    <xf numFmtId="0" fontId="0" fillId="2" borderId="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69" fontId="0" fillId="0" borderId="9" xfId="1" applyNumberFormat="1" applyFont="1" applyBorder="1"/>
    <xf numFmtId="169" fontId="0" fillId="0" borderId="9" xfId="0" applyNumberFormat="1" applyBorder="1"/>
    <xf numFmtId="10" fontId="0" fillId="3" borderId="0" xfId="0" applyNumberFormat="1" applyFill="1"/>
    <xf numFmtId="0" fontId="0" fillId="3" borderId="0" xfId="0" applyFill="1" applyAlignment="1">
      <alignment horizontal="right"/>
    </xf>
    <xf numFmtId="0" fontId="7" fillId="0" borderId="0" xfId="0" applyFont="1"/>
    <xf numFmtId="0" fontId="8" fillId="0" borderId="0" xfId="0" applyFont="1"/>
    <xf numFmtId="164" fontId="8" fillId="0" borderId="0" xfId="1" applyNumberFormat="1" applyFont="1"/>
    <xf numFmtId="10" fontId="8" fillId="0" borderId="0" xfId="1" applyNumberFormat="1" applyFont="1"/>
    <xf numFmtId="166" fontId="8" fillId="0" borderId="0" xfId="1" applyNumberFormat="1" applyFont="1"/>
    <xf numFmtId="164" fontId="8" fillId="0" borderId="0" xfId="0" applyNumberFormat="1" applyFont="1"/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%20Assignments/6.%20Ashiwini%20Mittal%20uncle's%20bid%20for%20work/1.%20F&amp;V%20Processing%20unit/F&amp;V%20Processing%20Unit%20Annexures%20-%20With%20Subsid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nn 1"/>
      <sheetName val="Ann 2"/>
      <sheetName val="Ann 3"/>
      <sheetName val="Ann 4"/>
      <sheetName val="Ann 5"/>
      <sheetName val="Ann 6"/>
      <sheetName val="Ann 7"/>
      <sheetName val="Ann 8"/>
      <sheetName val="Ann 9"/>
      <sheetName val="Ann 10"/>
      <sheetName val="Ann 11"/>
      <sheetName val="Ann 12"/>
      <sheetName val="Ann 13"/>
      <sheetName val="Budgets"/>
      <sheetName val="Assumptions"/>
      <sheetName val="For word file"/>
      <sheetName val="Sheet1"/>
    </sheetNames>
    <sheetDataSet>
      <sheetData sheetId="0"/>
      <sheetData sheetId="1">
        <row r="3">
          <cell r="A3" t="str">
            <v>Annexure 1 - Estimated cost of the project</v>
          </cell>
        </row>
      </sheetData>
      <sheetData sheetId="2">
        <row r="1">
          <cell r="A1" t="str">
            <v>Annexure 2 - Means of Finance</v>
          </cell>
        </row>
      </sheetData>
      <sheetData sheetId="3">
        <row r="1">
          <cell r="A1" t="str">
            <v>Annexure 3 - Complete Estimate of Civil and Plant and Machinery</v>
          </cell>
        </row>
      </sheetData>
      <sheetData sheetId="4">
        <row r="1">
          <cell r="A1" t="str">
            <v>Annexure 4 - Estimated Cost of Production</v>
          </cell>
        </row>
      </sheetData>
      <sheetData sheetId="5">
        <row r="1">
          <cell r="A1" t="str">
            <v>Annexure 5- Projected balance sheet</v>
          </cell>
        </row>
      </sheetData>
      <sheetData sheetId="6">
        <row r="1">
          <cell r="A1" t="str">
            <v>Annexure 6 - Requirement of Power and Fuel</v>
          </cell>
        </row>
      </sheetData>
      <sheetData sheetId="7">
        <row r="1">
          <cell r="A1" t="str">
            <v>Annexure 7 - Details of Mnpower (Technical)</v>
          </cell>
        </row>
      </sheetData>
      <sheetData sheetId="8">
        <row r="1">
          <cell r="A1" t="str">
            <v>Annexure 8 - Details of Mnpower (Administrative)</v>
          </cell>
        </row>
      </sheetData>
      <sheetData sheetId="9">
        <row r="1">
          <cell r="A1" t="str">
            <v>Annexure 9 - Computation of Depreciation</v>
          </cell>
        </row>
      </sheetData>
      <sheetData sheetId="10">
        <row r="1">
          <cell r="A1" t="str">
            <v>Annexure 10 - Calculation of Income tax</v>
          </cell>
        </row>
      </sheetData>
      <sheetData sheetId="11">
        <row r="1">
          <cell r="A1" t="str">
            <v>Annexure 11- Break even analysis (At maximum capacity utilization)</v>
          </cell>
        </row>
      </sheetData>
      <sheetData sheetId="12"/>
      <sheetData sheetId="13">
        <row r="1">
          <cell r="A1" t="str">
            <v>Annexure 13 - Repayment schedule</v>
          </cell>
        </row>
      </sheetData>
      <sheetData sheetId="14">
        <row r="1">
          <cell r="A1" t="str">
            <v>Sales Budget</v>
          </cell>
        </row>
      </sheetData>
      <sheetData sheetId="15">
        <row r="1">
          <cell r="B1" t="str">
            <v>Assumptions</v>
          </cell>
        </row>
      </sheetData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EF87C-4C89-4FB9-90CF-2055E5F18C38}">
  <sheetPr>
    <pageSetUpPr fitToPage="1"/>
  </sheetPr>
  <dimension ref="A1:B18"/>
  <sheetViews>
    <sheetView tabSelected="1" workbookViewId="0">
      <selection activeCell="B17" sqref="B17"/>
    </sheetView>
  </sheetViews>
  <sheetFormatPr defaultRowHeight="14.5" x14ac:dyDescent="0.35"/>
  <cols>
    <col min="1" max="1" width="57.90625" bestFit="1" customWidth="1"/>
    <col min="2" max="2" width="14.453125" bestFit="1" customWidth="1"/>
  </cols>
  <sheetData>
    <row r="1" spans="1:2" x14ac:dyDescent="0.35">
      <c r="A1" s="22" t="s">
        <v>280</v>
      </c>
    </row>
    <row r="3" spans="1:2" x14ac:dyDescent="0.35">
      <c r="A3" s="88" t="s">
        <v>281</v>
      </c>
      <c r="B3" s="88" t="s">
        <v>282</v>
      </c>
    </row>
    <row r="4" spans="1:2" x14ac:dyDescent="0.35">
      <c r="A4" s="12" t="str">
        <f>'[1]Ann 1'!A3</f>
        <v>Annexure 1 - Estimated cost of the project</v>
      </c>
      <c r="B4" s="89" t="s">
        <v>283</v>
      </c>
    </row>
    <row r="5" spans="1:2" x14ac:dyDescent="0.35">
      <c r="A5" s="12" t="str">
        <f>'[1]Ann 2'!A1</f>
        <v>Annexure 2 - Means of Finance</v>
      </c>
      <c r="B5" s="89" t="s">
        <v>284</v>
      </c>
    </row>
    <row r="6" spans="1:2" x14ac:dyDescent="0.35">
      <c r="A6" s="12" t="str">
        <f>'[1]Ann 3'!A1</f>
        <v>Annexure 3 - Complete Estimate of Civil and Plant and Machinery</v>
      </c>
      <c r="B6" s="89" t="s">
        <v>285</v>
      </c>
    </row>
    <row r="7" spans="1:2" x14ac:dyDescent="0.35">
      <c r="A7" s="12" t="str">
        <f>'[1]Ann 4'!A1</f>
        <v>Annexure 4 - Estimated Cost of Production</v>
      </c>
      <c r="B7" s="89" t="s">
        <v>286</v>
      </c>
    </row>
    <row r="8" spans="1:2" x14ac:dyDescent="0.35">
      <c r="A8" s="12" t="str">
        <f>'[1]Ann 5'!A1</f>
        <v>Annexure 5- Projected balance sheet</v>
      </c>
      <c r="B8" s="89" t="s">
        <v>287</v>
      </c>
    </row>
    <row r="9" spans="1:2" x14ac:dyDescent="0.35">
      <c r="A9" s="12" t="str">
        <f>'[1]Ann 6'!A1</f>
        <v>Annexure 6 - Requirement of Power and Fuel</v>
      </c>
      <c r="B9" s="89" t="s">
        <v>288</v>
      </c>
    </row>
    <row r="10" spans="1:2" x14ac:dyDescent="0.35">
      <c r="A10" s="12" t="str">
        <f>'[1]Ann 7'!A1</f>
        <v>Annexure 7 - Details of Mnpower (Technical)</v>
      </c>
      <c r="B10" s="89" t="s">
        <v>289</v>
      </c>
    </row>
    <row r="11" spans="1:2" x14ac:dyDescent="0.35">
      <c r="A11" s="12" t="str">
        <f>'[1]Ann 8'!A1</f>
        <v>Annexure 8 - Details of Mnpower (Administrative)</v>
      </c>
      <c r="B11" s="89" t="s">
        <v>290</v>
      </c>
    </row>
    <row r="12" spans="1:2" x14ac:dyDescent="0.35">
      <c r="A12" s="12" t="str">
        <f>'[1]Ann 9'!A1</f>
        <v>Annexure 9 - Computation of Depreciation</v>
      </c>
      <c r="B12" s="89" t="s">
        <v>291</v>
      </c>
    </row>
    <row r="13" spans="1:2" x14ac:dyDescent="0.35">
      <c r="A13" s="12" t="str">
        <f>'[1]Ann 10'!A1</f>
        <v>Annexure 10 - Calculation of Income tax</v>
      </c>
      <c r="B13" s="89" t="s">
        <v>292</v>
      </c>
    </row>
    <row r="14" spans="1:2" x14ac:dyDescent="0.35">
      <c r="A14" s="12" t="str">
        <f>'[1]Ann 11'!A1</f>
        <v>Annexure 11- Break even analysis (At maximum capacity utilization)</v>
      </c>
      <c r="B14" s="89" t="s">
        <v>293</v>
      </c>
    </row>
    <row r="15" spans="1:2" x14ac:dyDescent="0.35">
      <c r="A15" s="12" t="str">
        <f>'[1]Ann 13'!A1</f>
        <v>Annexure 13 - Repayment schedule</v>
      </c>
      <c r="B15" s="89" t="s">
        <v>294</v>
      </c>
    </row>
    <row r="16" spans="1:2" x14ac:dyDescent="0.35">
      <c r="A16" s="12" t="str">
        <f>[1]Assumptions!B1</f>
        <v>Assumptions</v>
      </c>
      <c r="B16" s="90" t="s">
        <v>295</v>
      </c>
    </row>
    <row r="17" spans="1:2" x14ac:dyDescent="0.35">
      <c r="A17" s="12" t="str">
        <f>'Cash flows'!A1</f>
        <v>Cash flow statement</v>
      </c>
      <c r="B17" s="89" t="s">
        <v>306</v>
      </c>
    </row>
    <row r="18" spans="1:2" x14ac:dyDescent="0.35">
      <c r="A18" s="12" t="str">
        <f>[1]Budgets!A1</f>
        <v>Sales Budget</v>
      </c>
      <c r="B18" s="90" t="s">
        <v>296</v>
      </c>
    </row>
  </sheetData>
  <hyperlinks>
    <hyperlink ref="B4" location="'Ann 1'!A1" display="Ann 1'!A1" xr:uid="{7D2B3EFA-22F8-44DE-B877-5E2BEC6C5BD7}"/>
    <hyperlink ref="B5" location="'Ann 2'!A1" display="Ann 2'!A1" xr:uid="{D0FD916E-1F7B-4CF4-8036-D8D5A73CEB61}"/>
    <hyperlink ref="B6" location="'Ann 3'!A1" display="'Ann 3'!A1" xr:uid="{40520A5C-F9BF-497F-A0C6-13ACF1646DB1}"/>
    <hyperlink ref="B7" location="'Ann 5'!A1" display="Ann 4'!A1" xr:uid="{535D2D35-536E-4FC7-BDA9-EC66186BB050}"/>
    <hyperlink ref="B8" location="'Ann 6'!A1" display="Ann 5'!A1" xr:uid="{65493503-78E7-4554-A945-CB7407EC3D89}"/>
    <hyperlink ref="B9" location="'Ann 6'!A1" display="'Ann 6'!A1" xr:uid="{15AC5AD6-CE8E-4E9D-AB66-E21F0A6BB211}"/>
    <hyperlink ref="B10" location="'Ann 7'!A1" display="'Ann 7'!A1" xr:uid="{D5C1E125-5D23-4ED4-9129-CA8FB9785BE5}"/>
    <hyperlink ref="B11" location="'Ann 8'!A1" display="'Ann 8'!A1" xr:uid="{BA0626FA-D127-4501-913C-07EB6295EDDC}"/>
    <hyperlink ref="B12" location="'Ann 9'!A1" display="'Ann 9'!A1" xr:uid="{BFE4E1BB-E419-44C9-AB9B-AB2775F50C18}"/>
    <hyperlink ref="B13" location="'Ann 10'!A1" display="'Ann 10'!A1" xr:uid="{2F3E2335-308A-4C9F-9600-F7B4047F2D0F}"/>
    <hyperlink ref="B14" location="'Ann 11'!A1" display="'Ann 11'!A1" xr:uid="{C417B8BB-266F-4A69-A53A-CA60115297E2}"/>
    <hyperlink ref="B15" location="'Ann 13'!A1" display="'Ann 13'!A1" xr:uid="{A5F81CED-A424-428B-8772-989FCD66250D}"/>
    <hyperlink ref="B16" location="Assumptions!A1" display="Assumptions!A1" xr:uid="{26B377C5-94EA-490E-BF0B-AEE3980785A1}"/>
    <hyperlink ref="B18" location="Budgets!A1" display="Budgets!A1" xr:uid="{0442BE4B-0420-4022-89F9-58E8042A141A}"/>
    <hyperlink ref="B17" location="'Cash flows'!A1" display="'Cash flows'!A1" xr:uid="{6BB3B91D-2DAC-4E0E-87D2-43C20D038427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B239D-A793-4055-957C-367EF6B7112E}">
  <sheetPr>
    <pageSetUpPr fitToPage="1"/>
  </sheetPr>
  <dimension ref="A1:H37"/>
  <sheetViews>
    <sheetView topLeftCell="A14" workbookViewId="0">
      <selection activeCell="F18" sqref="F18"/>
    </sheetView>
  </sheetViews>
  <sheetFormatPr defaultRowHeight="14.5" x14ac:dyDescent="0.35"/>
  <cols>
    <col min="2" max="2" width="23.54296875" bestFit="1" customWidth="1"/>
    <col min="4" max="4" width="14.6328125" bestFit="1" customWidth="1"/>
    <col min="5" max="5" width="12.54296875" bestFit="1" customWidth="1"/>
    <col min="6" max="6" width="13.6328125" bestFit="1" customWidth="1"/>
    <col min="16" max="16" width="13.6328125" bestFit="1" customWidth="1"/>
    <col min="17" max="17" width="12.54296875" bestFit="1" customWidth="1"/>
  </cols>
  <sheetData>
    <row r="1" spans="1:8" x14ac:dyDescent="0.35">
      <c r="A1" s="22" t="s">
        <v>72</v>
      </c>
    </row>
    <row r="3" spans="1:8" x14ac:dyDescent="0.35">
      <c r="A3" s="3" t="s">
        <v>73</v>
      </c>
    </row>
    <row r="5" spans="1:8" x14ac:dyDescent="0.35">
      <c r="B5" t="s">
        <v>50</v>
      </c>
      <c r="F5" s="15">
        <f>'Ann 4'!C21/60%</f>
        <v>144000000</v>
      </c>
    </row>
    <row r="6" spans="1:8" x14ac:dyDescent="0.35">
      <c r="B6" t="s">
        <v>74</v>
      </c>
    </row>
    <row r="7" spans="1:8" x14ac:dyDescent="0.35">
      <c r="B7" s="23" t="s">
        <v>218</v>
      </c>
      <c r="E7" s="15">
        <f>'Ann 4'!C7/60%</f>
        <v>120384000.00000003</v>
      </c>
    </row>
    <row r="8" spans="1:8" x14ac:dyDescent="0.35">
      <c r="B8" s="23" t="s">
        <v>75</v>
      </c>
      <c r="E8" s="16">
        <f>E7*2.5%</f>
        <v>3009600.0000000009</v>
      </c>
    </row>
    <row r="9" spans="1:8" x14ac:dyDescent="0.35">
      <c r="B9" s="23" t="s">
        <v>76</v>
      </c>
      <c r="E9" s="16">
        <f>2.5*Budgets!B18</f>
        <v>7200000</v>
      </c>
      <c r="G9" s="23"/>
    </row>
    <row r="10" spans="1:8" x14ac:dyDescent="0.35">
      <c r="B10" s="23" t="s">
        <v>77</v>
      </c>
      <c r="E10" s="16">
        <f>1500000*10%</f>
        <v>150000</v>
      </c>
      <c r="F10" s="16"/>
    </row>
    <row r="11" spans="1:8" x14ac:dyDescent="0.35">
      <c r="B11" s="23" t="s">
        <v>81</v>
      </c>
      <c r="E11" s="16">
        <f>110000+'Ann 4'!K42</f>
        <v>228196.43550312502</v>
      </c>
      <c r="F11" s="16">
        <f>SUM(E7:E11)</f>
        <v>130971796.43550315</v>
      </c>
      <c r="H11" s="24"/>
    </row>
    <row r="12" spans="1:8" x14ac:dyDescent="0.35">
      <c r="B12" t="s">
        <v>78</v>
      </c>
      <c r="F12" s="16">
        <f>F5-F11</f>
        <v>13028203.564496845</v>
      </c>
    </row>
    <row r="13" spans="1:8" x14ac:dyDescent="0.35">
      <c r="B13" t="s">
        <v>79</v>
      </c>
    </row>
    <row r="14" spans="1:8" x14ac:dyDescent="0.35">
      <c r="B14" t="s">
        <v>80</v>
      </c>
      <c r="F14" s="16">
        <f>'Ann 4'!C16</f>
        <v>1468800</v>
      </c>
    </row>
    <row r="15" spans="1:8" x14ac:dyDescent="0.35">
      <c r="B15" t="s">
        <v>88</v>
      </c>
      <c r="F15" s="16">
        <v>350000</v>
      </c>
    </row>
    <row r="16" spans="1:8" x14ac:dyDescent="0.35">
      <c r="B16" t="s">
        <v>82</v>
      </c>
      <c r="F16" s="16">
        <v>1200000</v>
      </c>
    </row>
    <row r="17" spans="2:6" x14ac:dyDescent="0.35">
      <c r="B17" t="s">
        <v>83</v>
      </c>
      <c r="F17" s="16">
        <v>200000</v>
      </c>
    </row>
    <row r="18" spans="2:6" x14ac:dyDescent="0.35">
      <c r="B18" t="s">
        <v>84</v>
      </c>
      <c r="F18" s="16">
        <f>'Ann 9'!F12</f>
        <v>590250</v>
      </c>
    </row>
    <row r="19" spans="2:6" x14ac:dyDescent="0.35">
      <c r="B19" t="s">
        <v>274</v>
      </c>
      <c r="F19" s="16">
        <f>SUM('Ann 13'!E9:E12)*100000</f>
        <v>214903.64999999994</v>
      </c>
    </row>
    <row r="20" spans="2:6" x14ac:dyDescent="0.35">
      <c r="B20" t="s">
        <v>90</v>
      </c>
      <c r="F20" s="16">
        <f>SUM(F14:F19)</f>
        <v>4023953.65</v>
      </c>
    </row>
    <row r="22" spans="2:6" x14ac:dyDescent="0.35">
      <c r="D22" t="s">
        <v>271</v>
      </c>
    </row>
    <row r="23" spans="2:6" x14ac:dyDescent="0.35">
      <c r="B23" t="s">
        <v>96</v>
      </c>
      <c r="D23">
        <f>Budgets!C18</f>
        <v>50</v>
      </c>
    </row>
    <row r="24" spans="2:6" x14ac:dyDescent="0.35">
      <c r="B24" s="23" t="s">
        <v>95</v>
      </c>
      <c r="D24">
        <f>Budgets!D18</f>
        <v>38</v>
      </c>
    </row>
    <row r="25" spans="2:6" x14ac:dyDescent="0.35">
      <c r="B25" s="23" t="s">
        <v>94</v>
      </c>
      <c r="D25">
        <f>D23*5%</f>
        <v>2.5</v>
      </c>
    </row>
    <row r="26" spans="2:6" x14ac:dyDescent="0.35">
      <c r="B26" s="23" t="s">
        <v>93</v>
      </c>
      <c r="D26" s="24">
        <f>E10/Budgets!B18</f>
        <v>5.2083333333333336E-2</v>
      </c>
    </row>
    <row r="27" spans="2:6" x14ac:dyDescent="0.35">
      <c r="B27" t="s">
        <v>92</v>
      </c>
      <c r="D27">
        <v>2.5</v>
      </c>
    </row>
    <row r="28" spans="2:6" x14ac:dyDescent="0.35">
      <c r="B28" t="s">
        <v>91</v>
      </c>
      <c r="D28" s="24">
        <f>E11/Budgets!B18</f>
        <v>7.9234873438585068E-2</v>
      </c>
    </row>
    <row r="29" spans="2:6" x14ac:dyDescent="0.35">
      <c r="B29" t="s">
        <v>270</v>
      </c>
      <c r="D29">
        <f>D23-SUM(D24:D28)</f>
        <v>6.8686817932280775</v>
      </c>
    </row>
    <row r="30" spans="2:6" x14ac:dyDescent="0.35">
      <c r="B30" t="s">
        <v>272</v>
      </c>
      <c r="D30" s="83">
        <f>F20/D29</f>
        <v>585840.74370241875</v>
      </c>
    </row>
    <row r="31" spans="2:6" x14ac:dyDescent="0.35">
      <c r="B31" t="s">
        <v>273</v>
      </c>
      <c r="D31" s="42">
        <f>D30/Budgets!B18</f>
        <v>0.20341692489667318</v>
      </c>
    </row>
    <row r="32" spans="2:6" x14ac:dyDescent="0.35">
      <c r="D32" s="42"/>
    </row>
    <row r="33" spans="1:1" x14ac:dyDescent="0.35">
      <c r="A33" t="s">
        <v>170</v>
      </c>
    </row>
    <row r="34" spans="1:1" x14ac:dyDescent="0.35">
      <c r="A34" t="s">
        <v>85</v>
      </c>
    </row>
    <row r="35" spans="1:1" x14ac:dyDescent="0.35">
      <c r="A35" t="s">
        <v>86</v>
      </c>
    </row>
    <row r="36" spans="1:1" x14ac:dyDescent="0.35">
      <c r="A36" t="s">
        <v>87</v>
      </c>
    </row>
    <row r="37" spans="1:1" x14ac:dyDescent="0.35">
      <c r="A37" t="s">
        <v>89</v>
      </c>
    </row>
  </sheetData>
  <pageMargins left="0.7" right="0.7" top="0.75" bottom="0.75" header="0.3" footer="0.3"/>
  <pageSetup scale="9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8098D-FBA0-4F7E-BF3C-624224F47C27}">
  <dimension ref="A1:K7"/>
  <sheetViews>
    <sheetView workbookViewId="0">
      <selection activeCell="A8" sqref="A8"/>
    </sheetView>
  </sheetViews>
  <sheetFormatPr defaultRowHeight="14.5" x14ac:dyDescent="0.35"/>
  <sheetData>
    <row r="1" spans="1:11" x14ac:dyDescent="0.35">
      <c r="A1" t="s">
        <v>97</v>
      </c>
    </row>
    <row r="3" spans="1:11" x14ac:dyDescent="0.35">
      <c r="C3" s="94" t="s">
        <v>98</v>
      </c>
      <c r="D3" s="94"/>
      <c r="E3" s="94"/>
      <c r="F3" s="94"/>
      <c r="G3" s="94"/>
      <c r="H3" s="94"/>
      <c r="I3" s="94"/>
      <c r="J3" s="94"/>
      <c r="K3" s="94"/>
    </row>
    <row r="4" spans="1:11" x14ac:dyDescent="0.35">
      <c r="C4">
        <v>1</v>
      </c>
      <c r="D4">
        <v>2</v>
      </c>
      <c r="E4">
        <v>3</v>
      </c>
      <c r="F4">
        <v>4</v>
      </c>
      <c r="G4">
        <v>5</v>
      </c>
      <c r="H4">
        <v>6</v>
      </c>
      <c r="I4">
        <v>7</v>
      </c>
      <c r="J4">
        <v>8</v>
      </c>
      <c r="K4">
        <v>9</v>
      </c>
    </row>
    <row r="5" spans="1:11" x14ac:dyDescent="0.35">
      <c r="A5" t="s">
        <v>99</v>
      </c>
      <c r="C5" t="e">
        <f>'Ann 4'!#REF!</f>
        <v>#REF!</v>
      </c>
      <c r="D5" t="e">
        <f>'Ann 4'!#REF!</f>
        <v>#REF!</v>
      </c>
      <c r="E5" t="e">
        <f>'Ann 4'!#REF!</f>
        <v>#REF!</v>
      </c>
      <c r="F5" t="e">
        <f>'Ann 4'!#REF!</f>
        <v>#REF!</v>
      </c>
      <c r="G5" t="e">
        <f>'Ann 4'!#REF!</f>
        <v>#REF!</v>
      </c>
      <c r="H5" t="e">
        <f>'Ann 4'!#REF!</f>
        <v>#REF!</v>
      </c>
      <c r="I5" t="e">
        <f>'Ann 4'!#REF!</f>
        <v>#REF!</v>
      </c>
      <c r="J5" t="e">
        <f>'Ann 4'!#REF!</f>
        <v>#REF!</v>
      </c>
      <c r="K5" t="e">
        <f>'Ann 4'!#REF!</f>
        <v>#REF!</v>
      </c>
    </row>
    <row r="6" spans="1:11" x14ac:dyDescent="0.35">
      <c r="A6" t="s">
        <v>100</v>
      </c>
      <c r="C6" t="e">
        <f>'Ann 4'!#REF!</f>
        <v>#REF!</v>
      </c>
      <c r="D6" t="e">
        <f>'Ann 4'!#REF!</f>
        <v>#REF!</v>
      </c>
      <c r="E6" t="e">
        <f>'Ann 4'!#REF!</f>
        <v>#REF!</v>
      </c>
      <c r="F6" t="e">
        <f>'Ann 4'!#REF!</f>
        <v>#REF!</v>
      </c>
      <c r="G6" t="e">
        <f>'Ann 4'!#REF!</f>
        <v>#REF!</v>
      </c>
      <c r="H6" t="e">
        <f>'Ann 4'!#REF!</f>
        <v>#REF!</v>
      </c>
      <c r="I6" t="e">
        <f>'Ann 4'!#REF!</f>
        <v>#REF!</v>
      </c>
      <c r="J6" t="e">
        <f>'Ann 4'!#REF!</f>
        <v>#REF!</v>
      </c>
      <c r="K6" t="e">
        <f>'Ann 4'!#REF!</f>
        <v>#REF!</v>
      </c>
    </row>
    <row r="7" spans="1:11" x14ac:dyDescent="0.35">
      <c r="A7" t="s">
        <v>101</v>
      </c>
    </row>
  </sheetData>
  <mergeCells count="1">
    <mergeCell ref="C3:K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5F0C2-594D-4936-9810-7D289B91BEE1}">
  <dimension ref="A1:G36"/>
  <sheetViews>
    <sheetView workbookViewId="0">
      <selection activeCell="E17" sqref="E17"/>
    </sheetView>
  </sheetViews>
  <sheetFormatPr defaultRowHeight="14.5" x14ac:dyDescent="0.35"/>
  <cols>
    <col min="1" max="1" width="4.54296875" bestFit="1" customWidth="1"/>
    <col min="2" max="2" width="7.36328125" bestFit="1" customWidth="1"/>
    <col min="3" max="3" width="17.81640625" bestFit="1" customWidth="1"/>
    <col min="4" max="4" width="17.36328125" bestFit="1" customWidth="1"/>
    <col min="5" max="5" width="7.26953125" bestFit="1" customWidth="1"/>
  </cols>
  <sheetData>
    <row r="1" spans="1:7" x14ac:dyDescent="0.35">
      <c r="A1" s="22" t="s">
        <v>107</v>
      </c>
    </row>
    <row r="3" spans="1:7" x14ac:dyDescent="0.35">
      <c r="A3" s="3" t="s">
        <v>108</v>
      </c>
    </row>
    <row r="4" spans="1:7" x14ac:dyDescent="0.35">
      <c r="A4" t="s">
        <v>109</v>
      </c>
      <c r="D4" s="2">
        <f>'Ann 2'!C6</f>
        <v>36.164999999999999</v>
      </c>
    </row>
    <row r="5" spans="1:7" x14ac:dyDescent="0.35">
      <c r="A5" t="s">
        <v>110</v>
      </c>
      <c r="D5" s="98">
        <v>0.06</v>
      </c>
    </row>
    <row r="6" spans="1:7" x14ac:dyDescent="0.35">
      <c r="A6" t="s">
        <v>111</v>
      </c>
      <c r="D6" s="99" t="s">
        <v>174</v>
      </c>
    </row>
    <row r="8" spans="1:7" x14ac:dyDescent="0.35">
      <c r="A8" s="34" t="s">
        <v>71</v>
      </c>
      <c r="B8" s="34" t="s">
        <v>112</v>
      </c>
      <c r="C8" s="34" t="s">
        <v>113</v>
      </c>
      <c r="D8" s="34" t="s">
        <v>115</v>
      </c>
      <c r="E8" s="34" t="s">
        <v>114</v>
      </c>
    </row>
    <row r="9" spans="1:7" x14ac:dyDescent="0.35">
      <c r="A9" s="95">
        <v>1</v>
      </c>
      <c r="B9" s="12">
        <v>1</v>
      </c>
      <c r="C9" s="65">
        <f>$D$4</f>
        <v>36.164999999999999</v>
      </c>
      <c r="D9" s="12">
        <v>0</v>
      </c>
      <c r="E9" s="12">
        <f>C9*$D$5/4</f>
        <v>0.54247499999999993</v>
      </c>
    </row>
    <row r="10" spans="1:7" x14ac:dyDescent="0.35">
      <c r="A10" s="95"/>
      <c r="B10" s="12">
        <v>2</v>
      </c>
      <c r="C10" s="65">
        <f>$D$4</f>
        <v>36.164999999999999</v>
      </c>
      <c r="D10" s="12">
        <v>0</v>
      </c>
      <c r="E10" s="12">
        <f t="shared" ref="E10:E36" si="0">C10*$D$5/4</f>
        <v>0.54247499999999993</v>
      </c>
      <c r="G10" s="68"/>
    </row>
    <row r="11" spans="1:7" x14ac:dyDescent="0.35">
      <c r="A11" s="95"/>
      <c r="B11" s="12">
        <v>3</v>
      </c>
      <c r="C11" s="65">
        <f>$D$4</f>
        <v>36.164999999999999</v>
      </c>
      <c r="D11" s="12">
        <v>1.3909</v>
      </c>
      <c r="E11" s="12">
        <f t="shared" si="0"/>
        <v>0.54247499999999993</v>
      </c>
    </row>
    <row r="12" spans="1:7" x14ac:dyDescent="0.35">
      <c r="A12" s="95"/>
      <c r="B12" s="12">
        <v>4</v>
      </c>
      <c r="C12" s="12">
        <f t="shared" ref="C12:C17" si="1">C11-D11</f>
        <v>34.774099999999997</v>
      </c>
      <c r="D12" s="12">
        <f>D11</f>
        <v>1.3909</v>
      </c>
      <c r="E12" s="12">
        <f t="shared" si="0"/>
        <v>0.52161149999999989</v>
      </c>
    </row>
    <row r="13" spans="1:7" x14ac:dyDescent="0.35">
      <c r="A13" s="95">
        <v>2</v>
      </c>
      <c r="B13" s="12">
        <v>1</v>
      </c>
      <c r="C13" s="12">
        <f t="shared" si="1"/>
        <v>33.383199999999995</v>
      </c>
      <c r="D13" s="12">
        <f t="shared" ref="D13:D35" si="2">D12</f>
        <v>1.3909</v>
      </c>
      <c r="E13" s="12">
        <f t="shared" si="0"/>
        <v>0.50074799999999986</v>
      </c>
    </row>
    <row r="14" spans="1:7" x14ac:dyDescent="0.35">
      <c r="A14" s="95"/>
      <c r="B14" s="12">
        <v>2</v>
      </c>
      <c r="C14" s="12">
        <f t="shared" si="1"/>
        <v>31.992299999999997</v>
      </c>
      <c r="D14" s="12">
        <f t="shared" si="2"/>
        <v>1.3909</v>
      </c>
      <c r="E14" s="12">
        <f t="shared" si="0"/>
        <v>0.47988449999999994</v>
      </c>
    </row>
    <row r="15" spans="1:7" x14ac:dyDescent="0.35">
      <c r="A15" s="95"/>
      <c r="B15" s="12">
        <v>3</v>
      </c>
      <c r="C15" s="12">
        <f t="shared" si="1"/>
        <v>30.601399999999998</v>
      </c>
      <c r="D15" s="12">
        <f t="shared" si="2"/>
        <v>1.3909</v>
      </c>
      <c r="E15" s="12">
        <f t="shared" si="0"/>
        <v>0.45902099999999996</v>
      </c>
    </row>
    <row r="16" spans="1:7" x14ac:dyDescent="0.35">
      <c r="A16" s="95"/>
      <c r="B16" s="12">
        <v>4</v>
      </c>
      <c r="C16" s="12">
        <f t="shared" si="1"/>
        <v>29.2105</v>
      </c>
      <c r="D16" s="12">
        <f t="shared" si="2"/>
        <v>1.3909</v>
      </c>
      <c r="E16" s="12">
        <f t="shared" si="0"/>
        <v>0.43815749999999998</v>
      </c>
    </row>
    <row r="17" spans="1:5" x14ac:dyDescent="0.35">
      <c r="A17" s="95">
        <v>3</v>
      </c>
      <c r="B17" s="12">
        <v>1</v>
      </c>
      <c r="C17" s="12">
        <f t="shared" si="1"/>
        <v>27.819600000000001</v>
      </c>
      <c r="D17" s="12">
        <f t="shared" si="2"/>
        <v>1.3909</v>
      </c>
      <c r="E17" s="12">
        <f t="shared" si="0"/>
        <v>0.417294</v>
      </c>
    </row>
    <row r="18" spans="1:5" x14ac:dyDescent="0.35">
      <c r="A18" s="95"/>
      <c r="B18" s="12">
        <v>2</v>
      </c>
      <c r="C18" s="12">
        <f t="shared" ref="C18:C36" si="3">C17-D17</f>
        <v>26.428700000000003</v>
      </c>
      <c r="D18" s="12">
        <f t="shared" si="2"/>
        <v>1.3909</v>
      </c>
      <c r="E18" s="12">
        <f t="shared" si="0"/>
        <v>0.39643050000000002</v>
      </c>
    </row>
    <row r="19" spans="1:5" x14ac:dyDescent="0.35">
      <c r="A19" s="95"/>
      <c r="B19" s="12">
        <v>3</v>
      </c>
      <c r="C19" s="12">
        <f t="shared" si="3"/>
        <v>25.037800000000004</v>
      </c>
      <c r="D19" s="12">
        <f t="shared" si="2"/>
        <v>1.3909</v>
      </c>
      <c r="E19" s="12">
        <f t="shared" si="0"/>
        <v>0.37556700000000004</v>
      </c>
    </row>
    <row r="20" spans="1:5" x14ac:dyDescent="0.35">
      <c r="A20" s="95"/>
      <c r="B20" s="12">
        <v>4</v>
      </c>
      <c r="C20" s="12">
        <f t="shared" si="3"/>
        <v>23.646900000000006</v>
      </c>
      <c r="D20" s="12">
        <f t="shared" si="2"/>
        <v>1.3909</v>
      </c>
      <c r="E20" s="12">
        <f t="shared" si="0"/>
        <v>0.35470350000000006</v>
      </c>
    </row>
    <row r="21" spans="1:5" x14ac:dyDescent="0.35">
      <c r="A21" s="95">
        <v>4</v>
      </c>
      <c r="B21" s="12">
        <v>1</v>
      </c>
      <c r="C21" s="12">
        <f t="shared" si="3"/>
        <v>22.256000000000007</v>
      </c>
      <c r="D21" s="12">
        <f t="shared" si="2"/>
        <v>1.3909</v>
      </c>
      <c r="E21" s="12">
        <f t="shared" si="0"/>
        <v>0.33384000000000008</v>
      </c>
    </row>
    <row r="22" spans="1:5" x14ac:dyDescent="0.35">
      <c r="A22" s="95"/>
      <c r="B22" s="12">
        <v>2</v>
      </c>
      <c r="C22" s="12">
        <f t="shared" si="3"/>
        <v>20.865100000000009</v>
      </c>
      <c r="D22" s="12">
        <f t="shared" si="2"/>
        <v>1.3909</v>
      </c>
      <c r="E22" s="12">
        <f t="shared" si="0"/>
        <v>0.3129765000000001</v>
      </c>
    </row>
    <row r="23" spans="1:5" x14ac:dyDescent="0.35">
      <c r="A23" s="95"/>
      <c r="B23" s="12">
        <v>3</v>
      </c>
      <c r="C23" s="12">
        <f t="shared" si="3"/>
        <v>19.47420000000001</v>
      </c>
      <c r="D23" s="12">
        <f t="shared" si="2"/>
        <v>1.3909</v>
      </c>
      <c r="E23" s="12">
        <f t="shared" si="0"/>
        <v>0.29211300000000012</v>
      </c>
    </row>
    <row r="24" spans="1:5" x14ac:dyDescent="0.35">
      <c r="A24" s="95"/>
      <c r="B24" s="12">
        <v>4</v>
      </c>
      <c r="C24" s="12">
        <f t="shared" si="3"/>
        <v>18.083300000000012</v>
      </c>
      <c r="D24" s="12">
        <f t="shared" si="2"/>
        <v>1.3909</v>
      </c>
      <c r="E24" s="12">
        <f t="shared" si="0"/>
        <v>0.27124950000000014</v>
      </c>
    </row>
    <row r="25" spans="1:5" x14ac:dyDescent="0.35">
      <c r="A25" s="95">
        <v>5</v>
      </c>
      <c r="B25" s="12">
        <v>1</v>
      </c>
      <c r="C25" s="12">
        <f t="shared" si="3"/>
        <v>16.692400000000013</v>
      </c>
      <c r="D25" s="12">
        <f t="shared" si="2"/>
        <v>1.3909</v>
      </c>
      <c r="E25" s="12">
        <f t="shared" si="0"/>
        <v>0.25038600000000022</v>
      </c>
    </row>
    <row r="26" spans="1:5" x14ac:dyDescent="0.35">
      <c r="A26" s="95"/>
      <c r="B26" s="12">
        <v>2</v>
      </c>
      <c r="C26" s="12">
        <f t="shared" si="3"/>
        <v>15.301500000000013</v>
      </c>
      <c r="D26" s="12">
        <f t="shared" si="2"/>
        <v>1.3909</v>
      </c>
      <c r="E26" s="12">
        <f t="shared" si="0"/>
        <v>0.22952250000000018</v>
      </c>
    </row>
    <row r="27" spans="1:5" x14ac:dyDescent="0.35">
      <c r="A27" s="95"/>
      <c r="B27" s="12">
        <v>3</v>
      </c>
      <c r="C27" s="12">
        <f t="shared" si="3"/>
        <v>13.910600000000013</v>
      </c>
      <c r="D27" s="12">
        <f t="shared" si="2"/>
        <v>1.3909</v>
      </c>
      <c r="E27" s="12">
        <f t="shared" si="0"/>
        <v>0.20865900000000018</v>
      </c>
    </row>
    <row r="28" spans="1:5" x14ac:dyDescent="0.35">
      <c r="A28" s="95"/>
      <c r="B28" s="12">
        <v>4</v>
      </c>
      <c r="C28" s="12">
        <f t="shared" si="3"/>
        <v>12.519700000000013</v>
      </c>
      <c r="D28" s="12">
        <f t="shared" si="2"/>
        <v>1.3909</v>
      </c>
      <c r="E28" s="12">
        <f t="shared" si="0"/>
        <v>0.18779550000000017</v>
      </c>
    </row>
    <row r="29" spans="1:5" x14ac:dyDescent="0.35">
      <c r="A29" s="95">
        <v>6</v>
      </c>
      <c r="B29" s="12">
        <v>1</v>
      </c>
      <c r="C29" s="12">
        <f t="shared" si="3"/>
        <v>11.128800000000012</v>
      </c>
      <c r="D29" s="12">
        <f t="shared" si="2"/>
        <v>1.3909</v>
      </c>
      <c r="E29" s="12">
        <f t="shared" si="0"/>
        <v>0.16693200000000019</v>
      </c>
    </row>
    <row r="30" spans="1:5" x14ac:dyDescent="0.35">
      <c r="A30" s="95"/>
      <c r="B30" s="12">
        <v>2</v>
      </c>
      <c r="C30" s="12">
        <f t="shared" si="3"/>
        <v>9.7379000000000122</v>
      </c>
      <c r="D30" s="12">
        <f t="shared" si="2"/>
        <v>1.3909</v>
      </c>
      <c r="E30" s="12">
        <f t="shared" si="0"/>
        <v>0.14606850000000018</v>
      </c>
    </row>
    <row r="31" spans="1:5" x14ac:dyDescent="0.35">
      <c r="A31" s="95"/>
      <c r="B31" s="12">
        <v>3</v>
      </c>
      <c r="C31" s="12">
        <f t="shared" si="3"/>
        <v>8.347000000000012</v>
      </c>
      <c r="D31" s="12">
        <f t="shared" si="2"/>
        <v>1.3909</v>
      </c>
      <c r="E31" s="12">
        <f t="shared" si="0"/>
        <v>0.12520500000000018</v>
      </c>
    </row>
    <row r="32" spans="1:5" x14ac:dyDescent="0.35">
      <c r="A32" s="95"/>
      <c r="B32" s="12">
        <v>4</v>
      </c>
      <c r="C32" s="12">
        <f t="shared" si="3"/>
        <v>6.9561000000000117</v>
      </c>
      <c r="D32" s="12">
        <f t="shared" si="2"/>
        <v>1.3909</v>
      </c>
      <c r="E32" s="12">
        <f t="shared" si="0"/>
        <v>0.10434150000000017</v>
      </c>
    </row>
    <row r="33" spans="1:5" x14ac:dyDescent="0.35">
      <c r="A33" s="95">
        <v>7</v>
      </c>
      <c r="B33" s="12">
        <v>1</v>
      </c>
      <c r="C33" s="12">
        <f t="shared" si="3"/>
        <v>5.5652000000000115</v>
      </c>
      <c r="D33" s="12">
        <f t="shared" si="2"/>
        <v>1.3909</v>
      </c>
      <c r="E33" s="12">
        <f t="shared" si="0"/>
        <v>8.3478000000000163E-2</v>
      </c>
    </row>
    <row r="34" spans="1:5" x14ac:dyDescent="0.35">
      <c r="A34" s="95"/>
      <c r="B34" s="12">
        <v>2</v>
      </c>
      <c r="C34" s="12">
        <f t="shared" si="3"/>
        <v>4.1743000000000112</v>
      </c>
      <c r="D34" s="12">
        <f t="shared" si="2"/>
        <v>1.3909</v>
      </c>
      <c r="E34" s="12">
        <f t="shared" si="0"/>
        <v>6.261450000000017E-2</v>
      </c>
    </row>
    <row r="35" spans="1:5" x14ac:dyDescent="0.35">
      <c r="A35" s="95"/>
      <c r="B35" s="12">
        <v>3</v>
      </c>
      <c r="C35" s="12">
        <f t="shared" si="3"/>
        <v>2.783400000000011</v>
      </c>
      <c r="D35" s="12">
        <f t="shared" si="2"/>
        <v>1.3909</v>
      </c>
      <c r="E35" s="12">
        <f t="shared" si="0"/>
        <v>4.1751000000000163E-2</v>
      </c>
    </row>
    <row r="36" spans="1:5" x14ac:dyDescent="0.35">
      <c r="A36" s="95"/>
      <c r="B36" s="12">
        <v>4</v>
      </c>
      <c r="C36" s="12">
        <f t="shared" si="3"/>
        <v>1.392500000000011</v>
      </c>
      <c r="D36" s="65">
        <f>D4-SUM(D9:D35)</f>
        <v>1.3925000000000125</v>
      </c>
      <c r="E36" s="12">
        <f t="shared" si="0"/>
        <v>2.0887500000000163E-2</v>
      </c>
    </row>
  </sheetData>
  <mergeCells count="7">
    <mergeCell ref="A33:A36"/>
    <mergeCell ref="A9:A12"/>
    <mergeCell ref="A13:A16"/>
    <mergeCell ref="A17:A20"/>
    <mergeCell ref="A21:A24"/>
    <mergeCell ref="A25:A28"/>
    <mergeCell ref="A29:A32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AADB1-212F-431E-A926-791FC9CE0F57}">
  <sheetPr>
    <pageSetUpPr fitToPage="1"/>
  </sheetPr>
  <dimension ref="A1:K31"/>
  <sheetViews>
    <sheetView topLeftCell="A5" workbookViewId="0">
      <selection activeCell="B14" sqref="B14"/>
    </sheetView>
  </sheetViews>
  <sheetFormatPr defaultRowHeight="14.5" x14ac:dyDescent="0.35"/>
  <cols>
    <col min="1" max="1" width="26.08984375" bestFit="1" customWidth="1"/>
    <col min="2" max="2" width="18" bestFit="1" customWidth="1"/>
    <col min="3" max="3" width="13.453125" bestFit="1" customWidth="1"/>
    <col min="4" max="4" width="13.7265625" bestFit="1" customWidth="1"/>
    <col min="5" max="10" width="13.453125" bestFit="1" customWidth="1"/>
    <col min="11" max="11" width="12.54296875" bestFit="1" customWidth="1"/>
  </cols>
  <sheetData>
    <row r="1" spans="1:10" x14ac:dyDescent="0.35">
      <c r="A1" t="s">
        <v>188</v>
      </c>
    </row>
    <row r="2" spans="1:10" x14ac:dyDescent="0.35">
      <c r="B2" s="94" t="s">
        <v>48</v>
      </c>
      <c r="C2" s="94"/>
      <c r="D2" s="94"/>
      <c r="E2" s="94"/>
      <c r="F2" s="94"/>
      <c r="G2" s="94"/>
      <c r="H2" s="94"/>
      <c r="I2" s="94"/>
      <c r="J2" s="94"/>
    </row>
    <row r="3" spans="1:10" x14ac:dyDescent="0.35">
      <c r="A3" s="12"/>
      <c r="B3" s="12" t="s">
        <v>39</v>
      </c>
      <c r="C3" s="12" t="s">
        <v>40</v>
      </c>
      <c r="D3" s="12" t="s">
        <v>41</v>
      </c>
      <c r="E3" s="12" t="s">
        <v>42</v>
      </c>
      <c r="F3" s="12" t="s">
        <v>43</v>
      </c>
      <c r="G3" s="12" t="s">
        <v>44</v>
      </c>
      <c r="H3" s="12" t="s">
        <v>45</v>
      </c>
      <c r="I3" s="12" t="s">
        <v>46</v>
      </c>
      <c r="J3" s="12" t="s">
        <v>47</v>
      </c>
    </row>
    <row r="4" spans="1:10" x14ac:dyDescent="0.35">
      <c r="A4" s="12" t="s">
        <v>189</v>
      </c>
      <c r="B4" s="73">
        <v>0.6</v>
      </c>
      <c r="C4" s="73">
        <v>0.65</v>
      </c>
      <c r="D4" s="73">
        <v>0.7</v>
      </c>
      <c r="E4" s="73">
        <v>0.75</v>
      </c>
      <c r="F4" s="73">
        <v>0.8</v>
      </c>
      <c r="G4" s="73">
        <v>0.85</v>
      </c>
      <c r="H4" s="73">
        <v>0.9</v>
      </c>
      <c r="I4" s="73">
        <v>0.95</v>
      </c>
      <c r="J4" s="73">
        <v>1</v>
      </c>
    </row>
    <row r="5" spans="1:10" x14ac:dyDescent="0.35">
      <c r="A5" s="12" t="s">
        <v>208</v>
      </c>
      <c r="B5" s="74">
        <f>$B$18*B4</f>
        <v>1728000</v>
      </c>
      <c r="C5" s="74">
        <f t="shared" ref="C5:J5" si="0">$B$18*C4</f>
        <v>1872000</v>
      </c>
      <c r="D5" s="74">
        <f t="shared" si="0"/>
        <v>2015999.9999999998</v>
      </c>
      <c r="E5" s="74">
        <f t="shared" si="0"/>
        <v>2160000</v>
      </c>
      <c r="F5" s="74">
        <f t="shared" si="0"/>
        <v>2304000</v>
      </c>
      <c r="G5" s="74">
        <f t="shared" si="0"/>
        <v>2448000</v>
      </c>
      <c r="H5" s="74">
        <f t="shared" si="0"/>
        <v>2592000</v>
      </c>
      <c r="I5" s="74">
        <f t="shared" si="0"/>
        <v>2736000</v>
      </c>
      <c r="J5" s="74">
        <f t="shared" si="0"/>
        <v>2880000</v>
      </c>
    </row>
    <row r="6" spans="1:10" x14ac:dyDescent="0.35">
      <c r="A6" s="12" t="s">
        <v>190</v>
      </c>
      <c r="B6" s="74">
        <f>B5*99%</f>
        <v>1710720</v>
      </c>
      <c r="C6" s="74">
        <f t="shared" ref="C6:E6" si="1">C5*99%</f>
        <v>1853280</v>
      </c>
      <c r="D6" s="74">
        <f t="shared" si="1"/>
        <v>1995839.9999999998</v>
      </c>
      <c r="E6" s="74">
        <f t="shared" si="1"/>
        <v>2138400</v>
      </c>
      <c r="F6" s="74">
        <f>MIN(F5*101%,F24)</f>
        <v>2327040</v>
      </c>
      <c r="G6" s="74">
        <f t="shared" ref="G6:J6" si="2">MIN(G5*101%,G24)</f>
        <v>2472480</v>
      </c>
      <c r="H6" s="74">
        <f t="shared" si="2"/>
        <v>2617920</v>
      </c>
      <c r="I6" s="74">
        <f t="shared" si="2"/>
        <v>2740320</v>
      </c>
      <c r="J6" s="74">
        <f t="shared" si="2"/>
        <v>2880000</v>
      </c>
    </row>
    <row r="7" spans="1:10" x14ac:dyDescent="0.35">
      <c r="A7" s="12" t="s">
        <v>50</v>
      </c>
      <c r="B7" s="74">
        <f>B5*C18</f>
        <v>86400000</v>
      </c>
      <c r="C7" s="74">
        <f>B7*1.07</f>
        <v>92448000</v>
      </c>
      <c r="D7" s="74">
        <f t="shared" ref="D7:J7" si="3">C7*1.07</f>
        <v>98919360</v>
      </c>
      <c r="E7" s="74">
        <f t="shared" si="3"/>
        <v>105843715.2</v>
      </c>
      <c r="F7" s="74">
        <f t="shared" si="3"/>
        <v>113252775.26400001</v>
      </c>
      <c r="G7" s="74">
        <f t="shared" si="3"/>
        <v>121180469.53248002</v>
      </c>
      <c r="H7" s="74">
        <f t="shared" si="3"/>
        <v>129663102.39975363</v>
      </c>
      <c r="I7" s="74">
        <f t="shared" si="3"/>
        <v>138739519.56773639</v>
      </c>
      <c r="J7" s="74">
        <f t="shared" si="3"/>
        <v>148451285.93747795</v>
      </c>
    </row>
    <row r="8" spans="1:10" x14ac:dyDescent="0.35">
      <c r="B8" s="2"/>
      <c r="C8" s="2"/>
      <c r="D8" s="2"/>
      <c r="E8" s="2"/>
      <c r="F8" s="2"/>
      <c r="G8" s="2"/>
      <c r="H8" s="2"/>
      <c r="I8" s="2"/>
      <c r="J8" s="2"/>
    </row>
    <row r="9" spans="1:10" x14ac:dyDescent="0.35">
      <c r="B9" s="2"/>
      <c r="C9" s="2"/>
      <c r="D9" s="2"/>
      <c r="E9" s="2"/>
      <c r="F9" s="2"/>
      <c r="G9" s="2"/>
      <c r="H9" s="2"/>
      <c r="I9" s="2"/>
      <c r="J9" s="2"/>
    </row>
    <row r="11" spans="1:10" x14ac:dyDescent="0.35">
      <c r="A11" s="22" t="s">
        <v>191</v>
      </c>
    </row>
    <row r="13" spans="1:10" x14ac:dyDescent="0.35">
      <c r="A13" t="s">
        <v>192</v>
      </c>
      <c r="B13">
        <v>1000</v>
      </c>
      <c r="C13" t="s">
        <v>193</v>
      </c>
    </row>
    <row r="14" spans="1:10" x14ac:dyDescent="0.35">
      <c r="A14" t="s">
        <v>194</v>
      </c>
      <c r="B14">
        <f>360*8</f>
        <v>2880</v>
      </c>
      <c r="C14" t="s">
        <v>195</v>
      </c>
    </row>
    <row r="15" spans="1:10" x14ac:dyDescent="0.35">
      <c r="A15" t="s">
        <v>196</v>
      </c>
      <c r="B15" s="15">
        <f>B14*B13</f>
        <v>2880000</v>
      </c>
      <c r="C15" t="s">
        <v>197</v>
      </c>
    </row>
    <row r="17" spans="1:11" s="71" customFormat="1" ht="43.5" x14ac:dyDescent="0.35">
      <c r="A17" s="69" t="s">
        <v>198</v>
      </c>
      <c r="B17" s="70" t="s">
        <v>199</v>
      </c>
      <c r="C17" s="70" t="s">
        <v>200</v>
      </c>
      <c r="D17" s="70" t="s">
        <v>201</v>
      </c>
    </row>
    <row r="18" spans="1:11" s="71" customFormat="1" x14ac:dyDescent="0.35">
      <c r="A18" s="69" t="s">
        <v>207</v>
      </c>
      <c r="B18" s="75">
        <f>B15</f>
        <v>2880000</v>
      </c>
      <c r="C18" s="76">
        <v>50</v>
      </c>
      <c r="D18" s="76">
        <v>38</v>
      </c>
      <c r="E18" s="72"/>
    </row>
    <row r="20" spans="1:11" x14ac:dyDescent="0.35">
      <c r="A20" s="22" t="s">
        <v>221</v>
      </c>
      <c r="C20" s="94" t="s">
        <v>48</v>
      </c>
      <c r="D20" s="94"/>
      <c r="E20" s="94"/>
      <c r="F20" s="94"/>
      <c r="G20" s="94"/>
      <c r="H20" s="94"/>
      <c r="I20" s="94"/>
      <c r="J20" s="94"/>
      <c r="K20" s="94"/>
    </row>
    <row r="21" spans="1:11" x14ac:dyDescent="0.35">
      <c r="B21" t="s">
        <v>39</v>
      </c>
      <c r="C21" t="s">
        <v>40</v>
      </c>
      <c r="D21" t="s">
        <v>41</v>
      </c>
      <c r="E21" t="s">
        <v>42</v>
      </c>
      <c r="F21" t="s">
        <v>43</v>
      </c>
      <c r="G21" t="s">
        <v>44</v>
      </c>
      <c r="H21" t="s">
        <v>45</v>
      </c>
      <c r="I21" t="s">
        <v>46</v>
      </c>
      <c r="J21" t="s">
        <v>47</v>
      </c>
    </row>
    <row r="22" spans="1:11" x14ac:dyDescent="0.35">
      <c r="A22" t="s">
        <v>202</v>
      </c>
      <c r="B22" s="16">
        <v>0</v>
      </c>
      <c r="C22" s="16">
        <f>B26</f>
        <v>17280</v>
      </c>
      <c r="D22" s="16">
        <f t="shared" ref="D22:J22" si="4">C26</f>
        <v>36000</v>
      </c>
      <c r="E22" s="16">
        <f t="shared" si="4"/>
        <v>56160</v>
      </c>
      <c r="F22" s="16">
        <f t="shared" si="4"/>
        <v>77760</v>
      </c>
      <c r="G22" s="16">
        <f t="shared" si="4"/>
        <v>54720</v>
      </c>
      <c r="H22" s="16">
        <f t="shared" si="4"/>
        <v>30240</v>
      </c>
      <c r="I22" s="16">
        <f t="shared" si="4"/>
        <v>4320</v>
      </c>
      <c r="J22" s="16">
        <f t="shared" si="4"/>
        <v>0</v>
      </c>
    </row>
    <row r="23" spans="1:11" x14ac:dyDescent="0.35">
      <c r="A23" t="s">
        <v>203</v>
      </c>
      <c r="B23" s="16">
        <f>B5</f>
        <v>1728000</v>
      </c>
      <c r="C23" s="16">
        <f t="shared" ref="C23:J23" si="5">C5</f>
        <v>1872000</v>
      </c>
      <c r="D23" s="16">
        <f t="shared" si="5"/>
        <v>2015999.9999999998</v>
      </c>
      <c r="E23" s="16">
        <f t="shared" si="5"/>
        <v>2160000</v>
      </c>
      <c r="F23" s="16">
        <f t="shared" si="5"/>
        <v>2304000</v>
      </c>
      <c r="G23" s="16">
        <f t="shared" si="5"/>
        <v>2448000</v>
      </c>
      <c r="H23" s="16">
        <f t="shared" si="5"/>
        <v>2592000</v>
      </c>
      <c r="I23" s="16">
        <f t="shared" si="5"/>
        <v>2736000</v>
      </c>
      <c r="J23" s="16">
        <f t="shared" si="5"/>
        <v>2880000</v>
      </c>
    </row>
    <row r="24" spans="1:11" x14ac:dyDescent="0.35">
      <c r="A24" t="s">
        <v>249</v>
      </c>
      <c r="B24" s="16">
        <f>SUM(B22:B23)</f>
        <v>1728000</v>
      </c>
      <c r="C24" s="16">
        <f t="shared" ref="C24:J24" si="6">SUM(C22:C23)</f>
        <v>1889280</v>
      </c>
      <c r="D24" s="16">
        <f t="shared" si="6"/>
        <v>2051999.9999999998</v>
      </c>
      <c r="E24" s="16">
        <f t="shared" si="6"/>
        <v>2216160</v>
      </c>
      <c r="F24" s="16">
        <f t="shared" si="6"/>
        <v>2381760</v>
      </c>
      <c r="G24" s="16">
        <f t="shared" si="6"/>
        <v>2502720</v>
      </c>
      <c r="H24" s="16">
        <f t="shared" si="6"/>
        <v>2622240</v>
      </c>
      <c r="I24" s="16">
        <f t="shared" si="6"/>
        <v>2740320</v>
      </c>
      <c r="J24" s="16">
        <f t="shared" si="6"/>
        <v>2880000</v>
      </c>
    </row>
    <row r="25" spans="1:11" x14ac:dyDescent="0.35">
      <c r="A25" t="s">
        <v>204</v>
      </c>
      <c r="B25" s="16">
        <f>B6</f>
        <v>1710720</v>
      </c>
      <c r="C25" s="16">
        <f t="shared" ref="C25:J25" si="7">C6</f>
        <v>1853280</v>
      </c>
      <c r="D25" s="16">
        <f t="shared" si="7"/>
        <v>1995839.9999999998</v>
      </c>
      <c r="E25" s="16">
        <f t="shared" si="7"/>
        <v>2138400</v>
      </c>
      <c r="F25" s="16">
        <f t="shared" si="7"/>
        <v>2327040</v>
      </c>
      <c r="G25" s="16">
        <f t="shared" si="7"/>
        <v>2472480</v>
      </c>
      <c r="H25" s="16">
        <f t="shared" si="7"/>
        <v>2617920</v>
      </c>
      <c r="I25" s="16">
        <f t="shared" si="7"/>
        <v>2740320</v>
      </c>
      <c r="J25" s="16">
        <f t="shared" si="7"/>
        <v>2880000</v>
      </c>
    </row>
    <row r="26" spans="1:11" x14ac:dyDescent="0.35">
      <c r="A26" t="s">
        <v>205</v>
      </c>
      <c r="B26" s="16">
        <f>B22+B23-B25</f>
        <v>17280</v>
      </c>
      <c r="C26" s="16">
        <f t="shared" ref="C26:J26" si="8">C22+C23-C25</f>
        <v>36000</v>
      </c>
      <c r="D26" s="16">
        <f t="shared" si="8"/>
        <v>56160</v>
      </c>
      <c r="E26" s="16">
        <f t="shared" si="8"/>
        <v>77760</v>
      </c>
      <c r="F26" s="16">
        <f t="shared" si="8"/>
        <v>54720</v>
      </c>
      <c r="G26" s="16">
        <f t="shared" si="8"/>
        <v>30240</v>
      </c>
      <c r="H26" s="16">
        <f t="shared" si="8"/>
        <v>4320</v>
      </c>
      <c r="I26" s="16">
        <f t="shared" si="8"/>
        <v>0</v>
      </c>
      <c r="J26" s="16">
        <f t="shared" si="8"/>
        <v>0</v>
      </c>
    </row>
    <row r="29" spans="1:11" x14ac:dyDescent="0.35">
      <c r="A29" t="s">
        <v>206</v>
      </c>
    </row>
    <row r="30" spans="1:11" x14ac:dyDescent="0.35">
      <c r="A30" t="s">
        <v>263</v>
      </c>
    </row>
    <row r="31" spans="1:11" x14ac:dyDescent="0.35">
      <c r="A31" t="s">
        <v>250</v>
      </c>
    </row>
  </sheetData>
  <mergeCells count="2">
    <mergeCell ref="B2:J2"/>
    <mergeCell ref="C20:K20"/>
  </mergeCells>
  <pageMargins left="0.7" right="0.7" top="0.75" bottom="0.75" header="0.3" footer="0.3"/>
  <pageSetup scale="7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D1C3B-78D2-43F9-ABE8-F6A84BAA4AE1}">
  <sheetPr>
    <pageSetUpPr fitToPage="1"/>
  </sheetPr>
  <dimension ref="A1:K31"/>
  <sheetViews>
    <sheetView workbookViewId="0">
      <selection activeCell="H18" sqref="H18"/>
    </sheetView>
  </sheetViews>
  <sheetFormatPr defaultRowHeight="14.5" x14ac:dyDescent="0.35"/>
  <cols>
    <col min="1" max="1" width="41.1796875" style="68" bestFit="1" customWidth="1"/>
    <col min="2" max="10" width="14.7265625" style="68" bestFit="1" customWidth="1"/>
    <col min="11" max="11" width="13.6328125" style="68" bestFit="1" customWidth="1"/>
    <col min="12" max="16384" width="8.7265625" style="68"/>
  </cols>
  <sheetData>
    <row r="1" spans="1:10" x14ac:dyDescent="0.35">
      <c r="A1" s="84" t="s">
        <v>225</v>
      </c>
    </row>
    <row r="2" spans="1:10" x14ac:dyDescent="0.35">
      <c r="A2" s="84"/>
    </row>
    <row r="3" spans="1:10" x14ac:dyDescent="0.35">
      <c r="A3" s="85" t="s">
        <v>3</v>
      </c>
      <c r="B3" s="85" t="s">
        <v>39</v>
      </c>
      <c r="C3" s="85" t="s">
        <v>40</v>
      </c>
      <c r="D3" s="85" t="s">
        <v>41</v>
      </c>
      <c r="E3" s="85" t="s">
        <v>42</v>
      </c>
      <c r="F3" s="85" t="s">
        <v>43</v>
      </c>
      <c r="G3" s="85" t="s">
        <v>44</v>
      </c>
      <c r="H3" s="85" t="s">
        <v>45</v>
      </c>
      <c r="I3" s="85" t="s">
        <v>46</v>
      </c>
      <c r="J3" s="85" t="s">
        <v>47</v>
      </c>
    </row>
    <row r="4" spans="1:10" x14ac:dyDescent="0.35">
      <c r="A4" s="86" t="s">
        <v>180</v>
      </c>
      <c r="B4" s="87">
        <v>1500000</v>
      </c>
      <c r="C4" s="87">
        <f>B19</f>
        <v>9121610.8889999986</v>
      </c>
      <c r="D4" s="87">
        <f t="shared" ref="D4:J4" si="0">C19</f>
        <v>9715394.9649999961</v>
      </c>
      <c r="E4" s="87">
        <f t="shared" si="0"/>
        <v>10140177.707300002</v>
      </c>
      <c r="F4" s="87">
        <f t="shared" si="0"/>
        <v>10464826.426563013</v>
      </c>
      <c r="G4" s="87">
        <f t="shared" si="0"/>
        <v>12290476.156753035</v>
      </c>
      <c r="H4" s="87">
        <f t="shared" si="0"/>
        <v>14258422.684835626</v>
      </c>
      <c r="I4" s="87">
        <f t="shared" si="0"/>
        <v>16447456.690453084</v>
      </c>
      <c r="J4" s="87">
        <f t="shared" si="0"/>
        <v>18731087.204906125</v>
      </c>
    </row>
    <row r="5" spans="1:10" x14ac:dyDescent="0.35">
      <c r="A5" s="86" t="s">
        <v>276</v>
      </c>
      <c r="B5" s="87">
        <f>'Ann 2'!C4*100000</f>
        <v>568500</v>
      </c>
      <c r="C5" s="87"/>
      <c r="D5" s="87"/>
      <c r="E5" s="87"/>
      <c r="F5" s="87"/>
      <c r="G5" s="87"/>
      <c r="H5" s="87"/>
      <c r="I5" s="87"/>
      <c r="J5" s="87"/>
    </row>
    <row r="6" spans="1:10" x14ac:dyDescent="0.35">
      <c r="A6" s="86" t="s">
        <v>277</v>
      </c>
      <c r="B6" s="87">
        <f>'Ann 2'!C6*100000</f>
        <v>3616500</v>
      </c>
      <c r="C6" s="87"/>
      <c r="D6" s="87"/>
      <c r="E6" s="87"/>
      <c r="F6" s="87"/>
      <c r="G6" s="87"/>
      <c r="H6" s="87"/>
      <c r="I6" s="87"/>
      <c r="J6" s="87"/>
    </row>
    <row r="7" spans="1:10" x14ac:dyDescent="0.35">
      <c r="A7" s="86" t="s">
        <v>278</v>
      </c>
      <c r="B7" s="87">
        <f>'Ann 9'!F6*100000</f>
        <v>4185000</v>
      </c>
      <c r="C7" s="87"/>
      <c r="D7" s="87"/>
      <c r="E7" s="87"/>
      <c r="F7" s="87"/>
      <c r="G7" s="87"/>
      <c r="H7" s="87"/>
      <c r="I7" s="87"/>
      <c r="J7" s="87"/>
    </row>
    <row r="8" spans="1:10" x14ac:dyDescent="0.35">
      <c r="A8" s="86" t="s">
        <v>181</v>
      </c>
      <c r="B8" s="87">
        <f>'Ann 4'!C21-'Ann 5'!C13</f>
        <v>79200000</v>
      </c>
      <c r="C8" s="87">
        <f>'Ann 4'!D21-'Ann 5'!D13</f>
        <v>84744000</v>
      </c>
      <c r="D8" s="87">
        <f>'Ann 4'!E21-'Ann 5'!E13</f>
        <v>90676080</v>
      </c>
      <c r="E8" s="87">
        <f>'Ann 4'!F21-'Ann 5'!F13</f>
        <v>97023405.600000009</v>
      </c>
      <c r="F8" s="87">
        <f>'Ann 4'!G21-'Ann 5'!G13</f>
        <v>103815043.99200001</v>
      </c>
      <c r="G8" s="87">
        <f>'Ann 4'!H21-'Ann 5'!H13</f>
        <v>111082097.07144001</v>
      </c>
      <c r="H8" s="87">
        <f>'Ann 4'!I21-'Ann 5'!I13</f>
        <v>118857843.86644083</v>
      </c>
      <c r="I8" s="87">
        <f>'Ann 4'!J21-'Ann 5'!J13</f>
        <v>127177892.93709169</v>
      </c>
      <c r="J8" s="87">
        <f>'Ann 4'!K21-'Ann 5'!K13</f>
        <v>136080345.44268811</v>
      </c>
    </row>
    <row r="9" spans="1:10" x14ac:dyDescent="0.35">
      <c r="A9" s="86" t="s">
        <v>226</v>
      </c>
      <c r="B9" s="87">
        <v>0</v>
      </c>
      <c r="C9" s="87">
        <f>'Ann 5'!C24</f>
        <v>14446080.000000004</v>
      </c>
      <c r="D9" s="87">
        <f>'Ann 5'!D24</f>
        <v>15649920.000000004</v>
      </c>
      <c r="E9" s="87">
        <f>'Ann 5'!E24</f>
        <v>16853760</v>
      </c>
      <c r="F9" s="87">
        <f>'Ann 5'!F24</f>
        <v>18057600</v>
      </c>
      <c r="G9" s="87">
        <f>'Ann 5'!G24</f>
        <v>19261440</v>
      </c>
      <c r="H9" s="87">
        <f>'Ann 5'!H24</f>
        <v>20465280</v>
      </c>
      <c r="I9" s="87">
        <f>'Ann 5'!I24</f>
        <v>21669120</v>
      </c>
      <c r="J9" s="87">
        <f>'Ann 5'!J24</f>
        <v>22872960.000000004</v>
      </c>
    </row>
    <row r="10" spans="1:10" x14ac:dyDescent="0.35">
      <c r="A10" s="86" t="s">
        <v>227</v>
      </c>
      <c r="B10" s="87">
        <v>0</v>
      </c>
      <c r="C10" s="87">
        <f>'Ann 5'!C13</f>
        <v>7200000</v>
      </c>
      <c r="D10" s="87">
        <f>'Ann 5'!D13</f>
        <v>7704000</v>
      </c>
      <c r="E10" s="87">
        <f>'Ann 5'!E13</f>
        <v>8243280</v>
      </c>
      <c r="F10" s="87">
        <f>'Ann 5'!F13</f>
        <v>8820309.5999999996</v>
      </c>
      <c r="G10" s="87">
        <f>'Ann 5'!G13</f>
        <v>9437731.2720000017</v>
      </c>
      <c r="H10" s="87">
        <f>'Ann 5'!H13</f>
        <v>10098372.461040001</v>
      </c>
      <c r="I10" s="87">
        <f>'Ann 5'!I13</f>
        <v>10805258.533312803</v>
      </c>
      <c r="J10" s="87">
        <f>'Ann 5'!J13</f>
        <v>11561626.6306447</v>
      </c>
    </row>
    <row r="11" spans="1:10" x14ac:dyDescent="0.35">
      <c r="A11" s="86" t="s">
        <v>228</v>
      </c>
      <c r="B11" s="87">
        <f>'Ann 4'!C10+'Ann 4'!C18-'Ann 5'!C24</f>
        <v>66405680.000000015</v>
      </c>
      <c r="C11" s="87">
        <f>'Ann 4'!D10+'Ann 4'!D18-'Ann 5'!D24</f>
        <v>71864048.000000015</v>
      </c>
      <c r="D11" s="87">
        <f>'Ann 4'!E10+'Ann 4'!E18-'Ann 5'!E24</f>
        <v>77330103.680000007</v>
      </c>
      <c r="E11" s="87">
        <f>'Ann 4'!F10+'Ann 4'!F18-'Ann 5'!F24</f>
        <v>82804284.300799996</v>
      </c>
      <c r="F11" s="87">
        <f>'Ann 4'!G10+'Ann 4'!G18-'Ann 5'!G24</f>
        <v>88402252.158848003</v>
      </c>
      <c r="G11" s="87">
        <f>'Ann 4'!H10+'Ann 4'!H18-'Ann 5'!H24</f>
        <v>93901296.028378874</v>
      </c>
      <c r="H11" s="87">
        <f>'Ann 4'!I10+'Ann 4'!I18-'Ann 5'!I24</f>
        <v>99409932.687081605</v>
      </c>
      <c r="I11" s="87">
        <f>'Ann 4'!J10+'Ann 4'!J18-'Ann 5'!J24</f>
        <v>104871108.53015654</v>
      </c>
      <c r="J11" s="87">
        <f>'Ann 4'!K10+'Ann 4'!K18-'Ann 5'!K24</f>
        <v>110386201.27790841</v>
      </c>
    </row>
    <row r="12" spans="1:10" x14ac:dyDescent="0.35">
      <c r="A12" s="86" t="s">
        <v>182</v>
      </c>
      <c r="B12" s="87">
        <f>'Ann 4'!C27</f>
        <v>364903.64999999991</v>
      </c>
      <c r="C12" s="87">
        <f>'Ann 4'!D27</f>
        <v>337781.1</v>
      </c>
      <c r="D12" s="87">
        <f>'Ann 4'!E27</f>
        <v>304399.5</v>
      </c>
      <c r="E12" s="87">
        <f>'Ann 4'!F27</f>
        <v>271017.90000000002</v>
      </c>
      <c r="F12" s="87">
        <f>'Ann 4'!G27</f>
        <v>237636.30000000005</v>
      </c>
      <c r="G12" s="87">
        <f>'Ann 4'!H27</f>
        <v>204254.70000000007</v>
      </c>
      <c r="H12" s="87">
        <f>'Ann 4'!I27</f>
        <v>170873.10000000006</v>
      </c>
      <c r="I12" s="87">
        <f>'Ann 4'!J27</f>
        <v>150000</v>
      </c>
      <c r="J12" s="87">
        <f>'Ann 4'!K27</f>
        <v>150000</v>
      </c>
    </row>
    <row r="13" spans="1:10" x14ac:dyDescent="0.35">
      <c r="A13" s="86"/>
      <c r="B13" s="87">
        <f>B4+B8-B9+B10-B11-B12+B5+B6-B7</f>
        <v>13929416.349999987</v>
      </c>
      <c r="C13" s="87">
        <f>C4+C8-C9+C10-C11-C12</f>
        <v>14417701.788999984</v>
      </c>
      <c r="D13" s="87">
        <f t="shared" ref="D13:J13" si="1">D4+D8-D9+D10-D11-D12</f>
        <v>14811051.784999996</v>
      </c>
      <c r="E13" s="87">
        <f t="shared" si="1"/>
        <v>15477801.10650002</v>
      </c>
      <c r="F13" s="87">
        <f t="shared" si="1"/>
        <v>16402691.559715014</v>
      </c>
      <c r="G13" s="87">
        <f t="shared" si="1"/>
        <v>19443313.771814171</v>
      </c>
      <c r="H13" s="87">
        <f t="shared" si="1"/>
        <v>23168553.225234859</v>
      </c>
      <c r="I13" s="87">
        <f t="shared" si="1"/>
        <v>27740379.63070105</v>
      </c>
      <c r="J13" s="87">
        <f t="shared" si="1"/>
        <v>32963898.000330538</v>
      </c>
    </row>
    <row r="14" spans="1:10" x14ac:dyDescent="0.35">
      <c r="A14" s="86" t="s">
        <v>230</v>
      </c>
      <c r="B14" s="87">
        <f>'Ann 4'!C33</f>
        <v>1580101.9049999954</v>
      </c>
      <c r="C14" s="87">
        <f>'Ann 4'!D33</f>
        <v>1446260.5199999956</v>
      </c>
      <c r="D14" s="87">
        <f>'Ann 4'!E33</f>
        <v>1435295.6084999978</v>
      </c>
      <c r="E14" s="87">
        <f>'Ann 4'!F33</f>
        <v>1554633.0278850021</v>
      </c>
      <c r="F14" s="87">
        <f>'Ann 4'!G33</f>
        <v>1240414.6754518533</v>
      </c>
      <c r="G14" s="87">
        <f>'Ann 4'!H33</f>
        <v>1614603.867550655</v>
      </c>
      <c r="H14" s="87">
        <f>'Ann 4'!I33</f>
        <v>2150433.674923873</v>
      </c>
      <c r="I14" s="87">
        <f>'Ann 4'!J33</f>
        <v>3142776.4276028806</v>
      </c>
      <c r="J14" s="87">
        <f>'Ann 4'!K33</f>
        <v>4099679.6627379465</v>
      </c>
    </row>
    <row r="15" spans="1:10" x14ac:dyDescent="0.35">
      <c r="A15" s="86"/>
      <c r="B15" s="87">
        <f>B13-B14</f>
        <v>12349314.444999991</v>
      </c>
      <c r="C15" s="87">
        <f t="shared" ref="C15:J15" si="2">C13-C14</f>
        <v>12971441.268999988</v>
      </c>
      <c r="D15" s="87">
        <f t="shared" si="2"/>
        <v>13375756.176499998</v>
      </c>
      <c r="E15" s="87">
        <f t="shared" si="2"/>
        <v>13923168.078615017</v>
      </c>
      <c r="F15" s="87">
        <f t="shared" si="2"/>
        <v>15162276.884263162</v>
      </c>
      <c r="G15" s="87">
        <f t="shared" si="2"/>
        <v>17828709.904263515</v>
      </c>
      <c r="H15" s="87">
        <f t="shared" si="2"/>
        <v>21018119.550310984</v>
      </c>
      <c r="I15" s="87">
        <f t="shared" si="2"/>
        <v>24597603.20309817</v>
      </c>
      <c r="J15" s="87">
        <f t="shared" si="2"/>
        <v>28864218.337592591</v>
      </c>
    </row>
    <row r="16" spans="1:10" x14ac:dyDescent="0.35">
      <c r="A16" s="86" t="s">
        <v>229</v>
      </c>
      <c r="B16" s="87">
        <f>'Ann 4'!C35</f>
        <v>2949523.5559999915</v>
      </c>
      <c r="C16" s="87">
        <f>'Ann 4'!D35</f>
        <v>2699686.3039999921</v>
      </c>
      <c r="D16" s="87">
        <f>'Ann 4'!E35</f>
        <v>2679218.4691999964</v>
      </c>
      <c r="E16" s="87">
        <f>'Ann 4'!F35</f>
        <v>2901981.6520520039</v>
      </c>
      <c r="F16" s="87">
        <f>'Ann 4'!G35</f>
        <v>2315440.7275101263</v>
      </c>
      <c r="G16" s="87">
        <f>'Ann 4'!H35</f>
        <v>3013927.2194278897</v>
      </c>
      <c r="H16" s="87">
        <f>'Ann 4'!I35</f>
        <v>4014142.8598578977</v>
      </c>
      <c r="I16" s="87">
        <f>'Ann 4'!J35</f>
        <v>5866515.9981920449</v>
      </c>
      <c r="J16" s="87">
        <f>'Ann 4'!K35</f>
        <v>7652735.3704441674</v>
      </c>
    </row>
    <row r="17" spans="1:11" x14ac:dyDescent="0.35">
      <c r="A17" s="86"/>
      <c r="B17" s="87">
        <f>B15-B16</f>
        <v>9399790.8889999986</v>
      </c>
      <c r="C17" s="87">
        <f t="shared" ref="C17:J17" si="3">C15-C16</f>
        <v>10271754.964999996</v>
      </c>
      <c r="D17" s="87">
        <f t="shared" si="3"/>
        <v>10696537.707300002</v>
      </c>
      <c r="E17" s="87">
        <f t="shared" si="3"/>
        <v>11021186.426563013</v>
      </c>
      <c r="F17" s="87">
        <f t="shared" si="3"/>
        <v>12846836.156753035</v>
      </c>
      <c r="G17" s="87">
        <f t="shared" si="3"/>
        <v>14814782.684835626</v>
      </c>
      <c r="H17" s="87">
        <f t="shared" si="3"/>
        <v>17003976.690453086</v>
      </c>
      <c r="I17" s="87">
        <f t="shared" si="3"/>
        <v>18731087.204906125</v>
      </c>
      <c r="J17" s="87">
        <f t="shared" si="3"/>
        <v>21211482.967148423</v>
      </c>
    </row>
    <row r="18" spans="1:11" x14ac:dyDescent="0.35">
      <c r="A18" s="86" t="s">
        <v>231</v>
      </c>
      <c r="B18" s="87">
        <f>SUM('Ann 13'!D9:D12)*100000</f>
        <v>278180</v>
      </c>
      <c r="C18" s="87">
        <f>SUM('Ann 13'!D13:D16)*100000</f>
        <v>556360</v>
      </c>
      <c r="D18" s="87">
        <f>SUM('Ann 13'!D17:D20)*100000</f>
        <v>556360</v>
      </c>
      <c r="E18" s="87">
        <f>SUM('Ann 13'!D21:D24)*100000</f>
        <v>556360</v>
      </c>
      <c r="F18" s="87">
        <f>SUM('Ann 13'!D25:D28)*100000</f>
        <v>556360</v>
      </c>
      <c r="G18" s="87">
        <f>SUM('Ann 13'!D29:D32)*100000</f>
        <v>556360</v>
      </c>
      <c r="H18" s="87">
        <f>SUM('Ann 13'!D33:D36)*100000</f>
        <v>556520.00000000128</v>
      </c>
      <c r="I18" s="87">
        <v>0</v>
      </c>
      <c r="J18" s="87">
        <v>0</v>
      </c>
    </row>
    <row r="19" spans="1:11" x14ac:dyDescent="0.35">
      <c r="A19" s="86" t="s">
        <v>232</v>
      </c>
      <c r="B19" s="87">
        <f>B17-B18</f>
        <v>9121610.8889999986</v>
      </c>
      <c r="C19" s="87">
        <f>C17-C18</f>
        <v>9715394.9649999961</v>
      </c>
      <c r="D19" s="87">
        <f>D17-D18</f>
        <v>10140177.707300002</v>
      </c>
      <c r="E19" s="87">
        <f t="shared" ref="E19:J19" si="4">E17-E18</f>
        <v>10464826.426563013</v>
      </c>
      <c r="F19" s="87">
        <f t="shared" si="4"/>
        <v>12290476.156753035</v>
      </c>
      <c r="G19" s="87">
        <f t="shared" si="4"/>
        <v>14258422.684835626</v>
      </c>
      <c r="H19" s="87">
        <f t="shared" si="4"/>
        <v>16447456.690453084</v>
      </c>
      <c r="I19" s="87">
        <f t="shared" si="4"/>
        <v>18731087.204906125</v>
      </c>
      <c r="J19" s="87">
        <f t="shared" si="4"/>
        <v>21211482.967148423</v>
      </c>
    </row>
    <row r="21" spans="1:11" x14ac:dyDescent="0.35">
      <c r="A21" s="100" t="s">
        <v>279</v>
      </c>
      <c r="B21" s="101"/>
      <c r="C21" s="101"/>
      <c r="D21" s="101"/>
      <c r="E21" s="101"/>
      <c r="F21" s="101"/>
      <c r="G21" s="101"/>
      <c r="H21" s="101"/>
      <c r="I21" s="101"/>
      <c r="J21" s="101"/>
      <c r="K21" s="101"/>
    </row>
    <row r="22" spans="1:11" x14ac:dyDescent="0.35">
      <c r="A22" s="102" t="s">
        <v>254</v>
      </c>
      <c r="B22" s="103">
        <v>0.06</v>
      </c>
      <c r="C22" s="102"/>
      <c r="D22" s="102"/>
      <c r="E22" s="102"/>
      <c r="F22" s="102"/>
      <c r="G22" s="102"/>
      <c r="H22" s="102"/>
      <c r="I22" s="102"/>
      <c r="J22" s="102"/>
      <c r="K22" s="102"/>
    </row>
    <row r="23" spans="1:11" x14ac:dyDescent="0.35">
      <c r="A23" s="102" t="s">
        <v>255</v>
      </c>
      <c r="B23" s="104">
        <f>1/(1+$B$22)</f>
        <v>0.94339622641509424</v>
      </c>
      <c r="C23" s="104">
        <f>1/((1+$B$22)*(1+$B$22))</f>
        <v>0.88999644001423983</v>
      </c>
      <c r="D23" s="104">
        <f>1/((1+$B$22)*(1+$B$22)*(1+$B$22))</f>
        <v>0.8396192830323016</v>
      </c>
      <c r="E23" s="104">
        <f>1/((1+$B$22)*(1+$B$22)*(1+$B$22)*(1+$B$22))</f>
        <v>0.79209366323802044</v>
      </c>
      <c r="F23" s="104">
        <f>1/((1+$B$22)*(1+$B$22)*(1+$B$22)*(1+$B$22)*(1+$B$22))</f>
        <v>0.74725817286605689</v>
      </c>
      <c r="G23" s="104">
        <f>1/((1+$B$22)*(1+$B$22)*(1+$B$22)*(1+$B$22)*(1+$B$22)*(1+$B$22))</f>
        <v>0.70496054043967626</v>
      </c>
      <c r="H23" s="104">
        <f>1/((1+$B$22)*(1+$B$22)*(1+$B$22)*(1+$B$22)*(1+$B$22)*(1+$B$22)*(1+$B$22))</f>
        <v>0.6650571136223361</v>
      </c>
      <c r="I23" s="104">
        <f>1/((1+$B$22)*(1+$B$22)*(1+$B$22)*(1+$B$22)*(1+$B$22)*(1+$B$22)*(1+$B$22)*(1+$B$22))</f>
        <v>0.62741237134182648</v>
      </c>
      <c r="J23" s="104">
        <f>1/((1+$B$22)*(1+$B$22)*(1+$B$22)*(1+$B$22)*(1+$B$22)*(1+$B$22)*(1+$B$22)*(1+$B$22)*(1+$B$22))</f>
        <v>0.59189846353002495</v>
      </c>
      <c r="K23" s="102"/>
    </row>
    <row r="24" spans="1:11" x14ac:dyDescent="0.35">
      <c r="A24" s="102" t="s">
        <v>256</v>
      </c>
      <c r="B24" s="102">
        <f>B4+B8+B10+B5+B6</f>
        <v>84885000</v>
      </c>
      <c r="C24" s="102">
        <f t="shared" ref="C24:J24" si="5">C4+C8+C10</f>
        <v>101065610.889</v>
      </c>
      <c r="D24" s="102">
        <f t="shared" si="5"/>
        <v>108095474.965</v>
      </c>
      <c r="E24" s="102">
        <f t="shared" si="5"/>
        <v>115406863.30730002</v>
      </c>
      <c r="F24" s="102">
        <f t="shared" si="5"/>
        <v>123100180.01856302</v>
      </c>
      <c r="G24" s="102">
        <f t="shared" si="5"/>
        <v>132810304.50019304</v>
      </c>
      <c r="H24" s="102">
        <f t="shared" si="5"/>
        <v>143214639.01231647</v>
      </c>
      <c r="I24" s="102">
        <f t="shared" si="5"/>
        <v>154430608.16085759</v>
      </c>
      <c r="J24" s="102">
        <f t="shared" si="5"/>
        <v>166373059.27823895</v>
      </c>
      <c r="K24" s="102"/>
    </row>
    <row r="25" spans="1:11" x14ac:dyDescent="0.35">
      <c r="A25" s="102" t="s">
        <v>257</v>
      </c>
      <c r="B25" s="102">
        <f>B24*B23</f>
        <v>80080188.679245278</v>
      </c>
      <c r="C25" s="102">
        <f t="shared" ref="C25:J25" si="6">C24*C23</f>
        <v>89948033.899074391</v>
      </c>
      <c r="D25" s="102">
        <f t="shared" si="6"/>
        <v>90759045.18914941</v>
      </c>
      <c r="E25" s="102">
        <f t="shared" si="6"/>
        <v>91413045.119888753</v>
      </c>
      <c r="F25" s="102">
        <f t="shared" si="6"/>
        <v>91987615.600154087</v>
      </c>
      <c r="G25" s="102">
        <f t="shared" si="6"/>
        <v>93626024.036414057</v>
      </c>
      <c r="H25" s="102">
        <f t="shared" si="6"/>
        <v>95245914.449995995</v>
      </c>
      <c r="I25" s="102">
        <f t="shared" si="6"/>
        <v>96891674.073964074</v>
      </c>
      <c r="J25" s="102">
        <f t="shared" si="6"/>
        <v>98475958.159579396</v>
      </c>
      <c r="K25" s="102"/>
    </row>
    <row r="26" spans="1:11" x14ac:dyDescent="0.35">
      <c r="A26" s="102" t="s">
        <v>258</v>
      </c>
      <c r="B26" s="102">
        <f>B9+B11+B12+B14+B16+B18+B7</f>
        <v>75763389.111000001</v>
      </c>
      <c r="C26" s="102">
        <f t="shared" ref="C26:J26" si="7">C9+C11+C12+C14+C16+C18</f>
        <v>91350215.923999995</v>
      </c>
      <c r="D26" s="102">
        <f t="shared" si="7"/>
        <v>97955297.257700011</v>
      </c>
      <c r="E26" s="102">
        <f t="shared" si="7"/>
        <v>104942036.88073701</v>
      </c>
      <c r="F26" s="102">
        <f t="shared" si="7"/>
        <v>110809703.86180998</v>
      </c>
      <c r="G26" s="102">
        <f t="shared" si="7"/>
        <v>118551881.81535742</v>
      </c>
      <c r="H26" s="102">
        <f t="shared" si="7"/>
        <v>126767182.32186337</v>
      </c>
      <c r="I26" s="102">
        <f t="shared" si="7"/>
        <v>135699520.95595148</v>
      </c>
      <c r="J26" s="102">
        <f t="shared" si="7"/>
        <v>145161576.31109053</v>
      </c>
      <c r="K26" s="102"/>
    </row>
    <row r="27" spans="1:11" x14ac:dyDescent="0.35">
      <c r="A27" s="102" t="s">
        <v>259</v>
      </c>
      <c r="B27" s="102">
        <f>B26*B23</f>
        <v>71474895.387735844</v>
      </c>
      <c r="C27" s="102">
        <f t="shared" ref="C27:J27" si="8">C26*C23</f>
        <v>81301366.966892123</v>
      </c>
      <c r="D27" s="102">
        <f t="shared" si="8"/>
        <v>82245156.452726066</v>
      </c>
      <c r="E27" s="102">
        <f t="shared" si="8"/>
        <v>83123922.420522422</v>
      </c>
      <c r="F27" s="102">
        <f t="shared" si="8"/>
        <v>82803456.843604982</v>
      </c>
      <c r="G27" s="102">
        <f t="shared" si="8"/>
        <v>83574398.674695</v>
      </c>
      <c r="H27" s="102">
        <f t="shared" si="8"/>
        <v>84307416.377014875</v>
      </c>
      <c r="I27" s="102">
        <f t="shared" si="8"/>
        <v>85139558.232923388</v>
      </c>
      <c r="J27" s="102">
        <f t="shared" si="8"/>
        <v>85920913.982130945</v>
      </c>
      <c r="K27" s="102"/>
    </row>
    <row r="28" spans="1:11" x14ac:dyDescent="0.35">
      <c r="A28" s="102"/>
      <c r="B28" s="102"/>
      <c r="C28" s="102"/>
      <c r="D28" s="102"/>
      <c r="E28" s="102"/>
      <c r="F28" s="102"/>
      <c r="G28" s="102"/>
      <c r="H28" s="102"/>
      <c r="I28" s="102"/>
      <c r="J28" s="102"/>
      <c r="K28" s="102"/>
    </row>
    <row r="29" spans="1:11" x14ac:dyDescent="0.35">
      <c r="A29" s="102" t="s">
        <v>260</v>
      </c>
      <c r="B29" s="102">
        <f>B24-B26</f>
        <v>9121610.8889999986</v>
      </c>
      <c r="C29" s="102">
        <f t="shared" ref="C29:J29" si="9">C24-C26</f>
        <v>9715394.9650000036</v>
      </c>
      <c r="D29" s="102">
        <f t="shared" si="9"/>
        <v>10140177.707299992</v>
      </c>
      <c r="E29" s="102">
        <f t="shared" si="9"/>
        <v>10464826.42656301</v>
      </c>
      <c r="F29" s="102">
        <f t="shared" si="9"/>
        <v>12290476.156753033</v>
      </c>
      <c r="G29" s="102">
        <f t="shared" si="9"/>
        <v>14258422.684835628</v>
      </c>
      <c r="H29" s="102">
        <f t="shared" si="9"/>
        <v>16447456.690453097</v>
      </c>
      <c r="I29" s="102">
        <f t="shared" si="9"/>
        <v>18731087.204906106</v>
      </c>
      <c r="J29" s="102">
        <f t="shared" si="9"/>
        <v>21211482.967148423</v>
      </c>
      <c r="K29" s="102"/>
    </row>
    <row r="30" spans="1:11" x14ac:dyDescent="0.35">
      <c r="A30" s="102" t="s">
        <v>261</v>
      </c>
      <c r="B30" s="102">
        <f>B25-B27</f>
        <v>8605293.2915094346</v>
      </c>
      <c r="C30" s="102">
        <f t="shared" ref="C30:J30" si="10">C25-C27</f>
        <v>8646666.9321822673</v>
      </c>
      <c r="D30" s="102">
        <f t="shared" si="10"/>
        <v>8513888.7364233434</v>
      </c>
      <c r="E30" s="102">
        <f t="shared" si="10"/>
        <v>8289122.6993663311</v>
      </c>
      <c r="F30" s="102">
        <f t="shared" si="10"/>
        <v>9184158.756549105</v>
      </c>
      <c r="G30" s="102">
        <f t="shared" si="10"/>
        <v>10051625.361719057</v>
      </c>
      <c r="H30" s="102">
        <f t="shared" si="10"/>
        <v>10938498.072981119</v>
      </c>
      <c r="I30" s="102">
        <f t="shared" si="10"/>
        <v>11752115.841040686</v>
      </c>
      <c r="J30" s="102">
        <f t="shared" si="10"/>
        <v>12555044.177448452</v>
      </c>
      <c r="K30" s="102"/>
    </row>
    <row r="31" spans="1:11" x14ac:dyDescent="0.35">
      <c r="A31" s="101"/>
      <c r="B31" s="101"/>
      <c r="C31" s="101"/>
      <c r="D31" s="101"/>
      <c r="E31" s="101"/>
      <c r="F31" s="105"/>
      <c r="G31" s="101"/>
      <c r="H31" s="105">
        <f>SUM(B30:H30)</f>
        <v>64229253.850730658</v>
      </c>
      <c r="I31" s="101"/>
      <c r="J31" s="101"/>
      <c r="K31" s="101"/>
    </row>
  </sheetData>
  <pageMargins left="0.7" right="0.7" top="0.75" bottom="0.75" header="0.3" footer="0.3"/>
  <pageSetup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0B69F-8F0D-45BD-B703-60FCEF10A70F}">
  <dimension ref="A2:J8"/>
  <sheetViews>
    <sheetView workbookViewId="0">
      <selection activeCell="B3" sqref="B3:F8"/>
    </sheetView>
  </sheetViews>
  <sheetFormatPr defaultRowHeight="14.5" x14ac:dyDescent="0.35"/>
  <cols>
    <col min="1" max="1" width="16.453125" bestFit="1" customWidth="1"/>
  </cols>
  <sheetData>
    <row r="2" spans="1:10" x14ac:dyDescent="0.35">
      <c r="B2" t="s">
        <v>39</v>
      </c>
      <c r="C2" t="s">
        <v>40</v>
      </c>
      <c r="D2" t="s">
        <v>41</v>
      </c>
      <c r="E2" t="s">
        <v>42</v>
      </c>
      <c r="F2" t="s">
        <v>43</v>
      </c>
      <c r="G2" t="s">
        <v>44</v>
      </c>
      <c r="H2" t="s">
        <v>45</v>
      </c>
      <c r="I2" t="s">
        <v>46</v>
      </c>
      <c r="J2" t="s">
        <v>47</v>
      </c>
    </row>
    <row r="3" spans="1:10" x14ac:dyDescent="0.35">
      <c r="A3" t="s">
        <v>264</v>
      </c>
      <c r="B3" s="2">
        <f>'Ann 4'!C21/100000</f>
        <v>864</v>
      </c>
      <c r="C3" s="2">
        <f>'Ann 4'!D21/100000</f>
        <v>924.48</v>
      </c>
      <c r="D3" s="2">
        <f>'Ann 4'!E21/100000</f>
        <v>989.19359999999995</v>
      </c>
      <c r="E3" s="2">
        <f>'Ann 4'!F21/100000</f>
        <v>1058.437152</v>
      </c>
      <c r="F3" s="2">
        <f>'Ann 4'!G21/100000</f>
        <v>1132.5277526400002</v>
      </c>
      <c r="G3" s="2">
        <f>'Ann 4'!H21/100000</f>
        <v>1211.8046953248002</v>
      </c>
      <c r="H3" s="2">
        <f>'Ann 4'!I21/100000</f>
        <v>1296.6310239975362</v>
      </c>
      <c r="I3" s="2">
        <f>'Ann 4'!J21/100000</f>
        <v>1387.395195677364</v>
      </c>
      <c r="J3" s="2">
        <f>'Ann 4'!K21/100000</f>
        <v>1484.5128593747795</v>
      </c>
    </row>
    <row r="4" spans="1:10" x14ac:dyDescent="0.35">
      <c r="A4" t="s">
        <v>265</v>
      </c>
      <c r="B4" s="2">
        <f>'Ann 4'!C20/100000</f>
        <v>801.77840000000015</v>
      </c>
      <c r="C4" s="2">
        <f>'Ann 4'!D20/100000</f>
        <v>867.83888000000013</v>
      </c>
      <c r="D4" s="2">
        <f>'Ann 4'!E20/100000</f>
        <v>933.97623680000004</v>
      </c>
      <c r="E4" s="2">
        <f>'Ann 4'!F20/100000</f>
        <v>1000.1948430079999</v>
      </c>
      <c r="F4" s="2">
        <f>'Ann 4'!G20/100000</f>
        <v>1085.6225215884799</v>
      </c>
      <c r="G4" s="2">
        <f>'Ann 4'!H20/100000</f>
        <v>1153.2129602837888</v>
      </c>
      <c r="H4" s="2">
        <f>'Ann 4'!I20/100000</f>
        <v>1220.8993268708161</v>
      </c>
      <c r="I4" s="2">
        <f>'Ann 4'!J20/100000</f>
        <v>1279.1254853015653</v>
      </c>
      <c r="J4" s="2">
        <f>'Ann 4'!K20/100000</f>
        <v>1344.6300127790842</v>
      </c>
    </row>
    <row r="5" spans="1:10" x14ac:dyDescent="0.35">
      <c r="A5" t="s">
        <v>266</v>
      </c>
      <c r="B5" s="2">
        <f>B3-B4</f>
        <v>62.221599999999853</v>
      </c>
      <c r="C5" s="2">
        <f t="shared" ref="C5:J5" si="0">C3-C4</f>
        <v>56.641119999999887</v>
      </c>
      <c r="D5" s="2">
        <f t="shared" si="0"/>
        <v>55.217363199999909</v>
      </c>
      <c r="E5" s="2">
        <f t="shared" si="0"/>
        <v>58.242308992000062</v>
      </c>
      <c r="F5" s="2">
        <f t="shared" si="0"/>
        <v>46.905231051520332</v>
      </c>
      <c r="G5" s="2">
        <f t="shared" si="0"/>
        <v>58.591735041011361</v>
      </c>
      <c r="H5" s="2">
        <f t="shared" si="0"/>
        <v>75.731697126720064</v>
      </c>
      <c r="I5" s="2">
        <f t="shared" si="0"/>
        <v>108.2697103757987</v>
      </c>
      <c r="J5" s="2">
        <f t="shared" si="0"/>
        <v>139.88284659569536</v>
      </c>
    </row>
    <row r="6" spans="1:10" x14ac:dyDescent="0.35">
      <c r="A6" t="s">
        <v>267</v>
      </c>
      <c r="B6" s="2">
        <f>B5</f>
        <v>62.221599999999853</v>
      </c>
      <c r="C6" s="2">
        <f t="shared" ref="C6:J6" si="1">C5</f>
        <v>56.641119999999887</v>
      </c>
      <c r="D6" s="2">
        <f t="shared" si="1"/>
        <v>55.217363199999909</v>
      </c>
      <c r="E6" s="2">
        <f t="shared" si="1"/>
        <v>58.242308992000062</v>
      </c>
      <c r="F6" s="2">
        <f t="shared" si="1"/>
        <v>46.905231051520332</v>
      </c>
      <c r="G6" s="2">
        <f t="shared" si="1"/>
        <v>58.591735041011361</v>
      </c>
      <c r="H6" s="2">
        <f t="shared" si="1"/>
        <v>75.731697126720064</v>
      </c>
      <c r="I6" s="2">
        <f t="shared" si="1"/>
        <v>108.2697103757987</v>
      </c>
      <c r="J6" s="2">
        <f t="shared" si="1"/>
        <v>139.88284659569536</v>
      </c>
    </row>
    <row r="7" spans="1:10" x14ac:dyDescent="0.35">
      <c r="A7" t="s">
        <v>268</v>
      </c>
      <c r="B7" s="80">
        <f>'Ann 4'!C32/100000</f>
        <v>52.670063499999848</v>
      </c>
      <c r="C7" s="80">
        <f>'Ann 4'!D32/100000</f>
        <v>48.208683999999856</v>
      </c>
      <c r="D7" s="80">
        <f>'Ann 4'!E32/100000</f>
        <v>47.843186949999925</v>
      </c>
      <c r="E7" s="80">
        <f>'Ann 4'!F32/100000</f>
        <v>51.821100929500069</v>
      </c>
      <c r="F7" s="80">
        <f>'Ann 4'!G32/100000</f>
        <v>41.347155848395111</v>
      </c>
      <c r="G7" s="80">
        <f>'Ann 4'!H32/100000</f>
        <v>53.820128918355174</v>
      </c>
      <c r="H7" s="80">
        <f>'Ann 4'!I32/100000</f>
        <v>71.681122497462439</v>
      </c>
      <c r="I7" s="80">
        <f>'Ann 4'!J32/100000</f>
        <v>104.75921425342936</v>
      </c>
      <c r="J7" s="80">
        <f>'Ann 4'!K32/100000</f>
        <v>136.65598875793154</v>
      </c>
    </row>
    <row r="8" spans="1:10" x14ac:dyDescent="0.35">
      <c r="A8" t="s">
        <v>269</v>
      </c>
      <c r="B8" s="80">
        <f>'Ann 4'!C34/100000</f>
        <v>36.86904444999989</v>
      </c>
      <c r="C8" s="80">
        <f>'Ann 4'!D34/100000</f>
        <v>33.7460787999999</v>
      </c>
      <c r="D8" s="80">
        <f>'Ann 4'!E34/100000</f>
        <v>33.490230864999951</v>
      </c>
      <c r="E8" s="80">
        <f>'Ann 4'!F34/100000</f>
        <v>36.274770650650048</v>
      </c>
      <c r="F8" s="80">
        <f>'Ann 4'!G34/100000</f>
        <v>28.943009093876579</v>
      </c>
      <c r="G8" s="80">
        <f>'Ann 4'!H34/100000</f>
        <v>37.674090242848621</v>
      </c>
      <c r="H8" s="80">
        <f>'Ann 4'!I34/100000</f>
        <v>50.176785748223715</v>
      </c>
      <c r="I8" s="80">
        <f>'Ann 4'!J34/100000</f>
        <v>73.331449977400553</v>
      </c>
      <c r="J8" s="80">
        <f>'Ann 4'!K34/100000</f>
        <v>95.659192130552086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DF792-1B45-48DE-ADA3-66E6955F604F}">
  <sheetPr>
    <pageSetUpPr fitToPage="1"/>
  </sheetPr>
  <dimension ref="A1:L11"/>
  <sheetViews>
    <sheetView workbookViewId="0">
      <selection activeCell="B11" sqref="B11"/>
    </sheetView>
  </sheetViews>
  <sheetFormatPr defaultRowHeight="14.5" x14ac:dyDescent="0.35"/>
  <cols>
    <col min="2" max="2" width="84" bestFit="1" customWidth="1"/>
    <col min="3" max="3" width="12.36328125" bestFit="1" customWidth="1"/>
    <col min="4" max="4" width="6.81640625" bestFit="1" customWidth="1"/>
    <col min="5" max="8" width="7.81640625" bestFit="1" customWidth="1"/>
    <col min="9" max="9" width="10.81640625" bestFit="1" customWidth="1"/>
    <col min="10" max="12" width="11.81640625" bestFit="1" customWidth="1"/>
  </cols>
  <sheetData>
    <row r="1" spans="1:12" x14ac:dyDescent="0.35">
      <c r="A1" t="s">
        <v>297</v>
      </c>
      <c r="B1" t="s">
        <v>298</v>
      </c>
    </row>
    <row r="2" spans="1:12" x14ac:dyDescent="0.35">
      <c r="A2">
        <v>1</v>
      </c>
      <c r="B2" t="s">
        <v>305</v>
      </c>
    </row>
    <row r="3" spans="1:12" x14ac:dyDescent="0.35">
      <c r="A3">
        <v>2</v>
      </c>
      <c r="B3" t="s">
        <v>304</v>
      </c>
    </row>
    <row r="4" spans="1:12" x14ac:dyDescent="0.35">
      <c r="A4">
        <v>3</v>
      </c>
      <c r="B4" t="s">
        <v>299</v>
      </c>
    </row>
    <row r="5" spans="1:12" x14ac:dyDescent="0.35">
      <c r="A5">
        <v>4</v>
      </c>
      <c r="B5" t="s">
        <v>300</v>
      </c>
      <c r="C5" t="s">
        <v>71</v>
      </c>
      <c r="D5" t="s">
        <v>39</v>
      </c>
      <c r="E5" t="s">
        <v>40</v>
      </c>
      <c r="F5" t="s">
        <v>41</v>
      </c>
      <c r="G5" t="s">
        <v>42</v>
      </c>
      <c r="H5" t="s">
        <v>43</v>
      </c>
      <c r="I5" t="s">
        <v>44</v>
      </c>
      <c r="J5" t="s">
        <v>45</v>
      </c>
      <c r="K5" t="s">
        <v>46</v>
      </c>
      <c r="L5" t="s">
        <v>47</v>
      </c>
    </row>
    <row r="6" spans="1:12" x14ac:dyDescent="0.35">
      <c r="C6" t="s">
        <v>212</v>
      </c>
      <c r="D6">
        <v>80000</v>
      </c>
      <c r="E6">
        <f>D6*1.05</f>
        <v>84000</v>
      </c>
      <c r="F6">
        <f t="shared" ref="F6:L6" si="0">E6*1.05</f>
        <v>88200</v>
      </c>
      <c r="G6">
        <f t="shared" si="0"/>
        <v>92610</v>
      </c>
      <c r="H6">
        <f t="shared" si="0"/>
        <v>97240.5</v>
      </c>
      <c r="I6">
        <f t="shared" si="0"/>
        <v>102102.52500000001</v>
      </c>
      <c r="J6">
        <f t="shared" si="0"/>
        <v>107207.65125000001</v>
      </c>
      <c r="K6">
        <f t="shared" si="0"/>
        <v>112568.03381250001</v>
      </c>
      <c r="L6">
        <f t="shared" si="0"/>
        <v>118196.43550312502</v>
      </c>
    </row>
    <row r="7" spans="1:12" x14ac:dyDescent="0.35">
      <c r="C7" t="s">
        <v>74</v>
      </c>
      <c r="D7">
        <f>D6*12</f>
        <v>960000</v>
      </c>
      <c r="E7">
        <f t="shared" ref="E7:L7" si="1">E6*12</f>
        <v>1008000</v>
      </c>
      <c r="F7">
        <f t="shared" si="1"/>
        <v>1058400</v>
      </c>
      <c r="G7">
        <f t="shared" si="1"/>
        <v>1111320</v>
      </c>
      <c r="H7">
        <f t="shared" si="1"/>
        <v>1166886</v>
      </c>
      <c r="I7">
        <f t="shared" si="1"/>
        <v>1225230.3</v>
      </c>
      <c r="J7">
        <f t="shared" si="1"/>
        <v>1286491.8150000002</v>
      </c>
      <c r="K7">
        <f t="shared" si="1"/>
        <v>1350816.4057500002</v>
      </c>
      <c r="L7">
        <f t="shared" si="1"/>
        <v>1418357.2260375002</v>
      </c>
    </row>
    <row r="8" spans="1:12" x14ac:dyDescent="0.35">
      <c r="A8">
        <v>5</v>
      </c>
      <c r="B8" t="s">
        <v>301</v>
      </c>
    </row>
    <row r="9" spans="1:12" x14ac:dyDescent="0.35">
      <c r="A9">
        <v>6</v>
      </c>
      <c r="B9" t="s">
        <v>302</v>
      </c>
    </row>
    <row r="10" spans="1:12" x14ac:dyDescent="0.35">
      <c r="A10">
        <v>7</v>
      </c>
      <c r="B10" t="s">
        <v>308</v>
      </c>
    </row>
    <row r="11" spans="1:12" x14ac:dyDescent="0.35">
      <c r="A11">
        <v>8</v>
      </c>
      <c r="B11" t="s">
        <v>303</v>
      </c>
    </row>
  </sheetData>
  <pageMargins left="0.7" right="0.7" top="0.75" bottom="0.75" header="0.3" footer="0.3"/>
  <pageSetup scale="6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78DE0-72C3-4C7B-BCE1-80ED309267B8}">
  <dimension ref="A1:K7"/>
  <sheetViews>
    <sheetView workbookViewId="0">
      <selection activeCell="C5" sqref="C5"/>
    </sheetView>
  </sheetViews>
  <sheetFormatPr defaultRowHeight="14.5" x14ac:dyDescent="0.35"/>
  <cols>
    <col min="3" max="3" width="8.81640625" bestFit="1" customWidth="1"/>
    <col min="4" max="5" width="11.81640625" bestFit="1" customWidth="1"/>
    <col min="6" max="6" width="9.81640625" bestFit="1" customWidth="1"/>
    <col min="7" max="11" width="11.81640625" bestFit="1" customWidth="1"/>
  </cols>
  <sheetData>
    <row r="1" spans="1:11" x14ac:dyDescent="0.35">
      <c r="A1" t="s">
        <v>158</v>
      </c>
    </row>
    <row r="2" spans="1:11" x14ac:dyDescent="0.35">
      <c r="C2" t="s">
        <v>39</v>
      </c>
      <c r="D2" t="s">
        <v>40</v>
      </c>
      <c r="E2" t="s">
        <v>41</v>
      </c>
      <c r="F2" t="s">
        <v>42</v>
      </c>
      <c r="G2" t="s">
        <v>43</v>
      </c>
      <c r="H2" t="s">
        <v>44</v>
      </c>
      <c r="I2" t="s">
        <v>45</v>
      </c>
      <c r="J2" t="s">
        <v>46</v>
      </c>
      <c r="K2" t="s">
        <v>47</v>
      </c>
    </row>
    <row r="3" spans="1:11" x14ac:dyDescent="0.35">
      <c r="A3" t="s">
        <v>159</v>
      </c>
      <c r="C3">
        <f>'Ann 4'!C21/300*270</f>
        <v>77760000</v>
      </c>
      <c r="D3">
        <f>'Ann 4'!D21/300*270</f>
        <v>83203200</v>
      </c>
      <c r="E3">
        <f>'Ann 4'!E21/300*270</f>
        <v>89027424</v>
      </c>
      <c r="F3">
        <f>'Ann 4'!F21/300*270</f>
        <v>95259343.680000007</v>
      </c>
      <c r="G3">
        <f>'Ann 4'!G21/300*270</f>
        <v>101927497.73760001</v>
      </c>
      <c r="H3">
        <f>'Ann 4'!H21/300*270</f>
        <v>109062422.57923201</v>
      </c>
      <c r="I3">
        <f>'Ann 4'!I21/300*270</f>
        <v>116696792.15977827</v>
      </c>
      <c r="J3">
        <f>'Ann 4'!J21/300*270</f>
        <v>124865567.61096275</v>
      </c>
      <c r="K3">
        <f>'Ann 4'!K21/300*270</f>
        <v>133606157.34373015</v>
      </c>
    </row>
    <row r="4" spans="1:11" x14ac:dyDescent="0.35">
      <c r="A4" t="s">
        <v>160</v>
      </c>
      <c r="C4">
        <v>5000000</v>
      </c>
    </row>
    <row r="5" spans="1:11" x14ac:dyDescent="0.35">
      <c r="A5" t="s">
        <v>161</v>
      </c>
      <c r="C5">
        <v>21492978</v>
      </c>
    </row>
    <row r="7" spans="1:11" x14ac:dyDescent="0.35">
      <c r="A7" t="s">
        <v>162</v>
      </c>
      <c r="C7">
        <f>'Ann 3'!G22</f>
        <v>3435000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3A738-A431-4FFB-9E48-2908CC4F126C}">
  <dimension ref="A1:C42"/>
  <sheetViews>
    <sheetView workbookViewId="0"/>
  </sheetViews>
  <sheetFormatPr defaultRowHeight="14.5" x14ac:dyDescent="0.35"/>
  <cols>
    <col min="2" max="2" width="44.90625" customWidth="1"/>
    <col min="3" max="3" width="13.26953125" customWidth="1"/>
  </cols>
  <sheetData>
    <row r="1" spans="1:3" x14ac:dyDescent="0.35">
      <c r="A1" s="22" t="s">
        <v>275</v>
      </c>
    </row>
    <row r="3" spans="1:3" x14ac:dyDescent="0.35">
      <c r="A3" s="22" t="s">
        <v>0</v>
      </c>
    </row>
    <row r="5" spans="1:3" x14ac:dyDescent="0.35">
      <c r="A5" s="31" t="s">
        <v>1</v>
      </c>
      <c r="B5" s="32"/>
      <c r="C5" s="33"/>
    </row>
    <row r="6" spans="1:3" ht="29" x14ac:dyDescent="0.35">
      <c r="A6" s="34" t="s">
        <v>2</v>
      </c>
      <c r="B6" s="34" t="s">
        <v>3</v>
      </c>
      <c r="C6" s="35" t="s">
        <v>4</v>
      </c>
    </row>
    <row r="7" spans="1:3" x14ac:dyDescent="0.35">
      <c r="A7" s="7">
        <v>1</v>
      </c>
      <c r="B7" s="9" t="s">
        <v>6</v>
      </c>
      <c r="C7" s="6"/>
    </row>
    <row r="8" spans="1:3" x14ac:dyDescent="0.35">
      <c r="A8" s="7" t="s">
        <v>5</v>
      </c>
      <c r="B8" s="9" t="s">
        <v>7</v>
      </c>
      <c r="C8" s="66">
        <v>0</v>
      </c>
    </row>
    <row r="9" spans="1:3" x14ac:dyDescent="0.35">
      <c r="A9" s="7"/>
      <c r="B9" s="9" t="s">
        <v>8</v>
      </c>
      <c r="C9" s="66">
        <f>SUM(C8)</f>
        <v>0</v>
      </c>
    </row>
    <row r="10" spans="1:3" x14ac:dyDescent="0.35">
      <c r="A10" s="7"/>
      <c r="B10" s="9"/>
      <c r="C10" s="6"/>
    </row>
    <row r="11" spans="1:3" x14ac:dyDescent="0.35">
      <c r="A11" s="7">
        <v>2</v>
      </c>
      <c r="B11" s="9" t="s">
        <v>187</v>
      </c>
      <c r="C11" s="66">
        <v>0</v>
      </c>
    </row>
    <row r="12" spans="1:3" x14ac:dyDescent="0.35">
      <c r="A12" s="7" t="s">
        <v>5</v>
      </c>
      <c r="B12" s="9" t="s">
        <v>8</v>
      </c>
      <c r="C12" s="66">
        <f>C11</f>
        <v>0</v>
      </c>
    </row>
    <row r="13" spans="1:3" x14ac:dyDescent="0.35">
      <c r="A13" s="7"/>
      <c r="B13" s="9"/>
      <c r="C13" s="6"/>
    </row>
    <row r="14" spans="1:3" x14ac:dyDescent="0.35">
      <c r="A14" s="7">
        <v>3</v>
      </c>
      <c r="B14" s="9" t="s">
        <v>9</v>
      </c>
      <c r="C14" s="6"/>
    </row>
    <row r="15" spans="1:3" x14ac:dyDescent="0.35">
      <c r="A15" s="7" t="s">
        <v>5</v>
      </c>
      <c r="B15" s="9" t="s">
        <v>9</v>
      </c>
      <c r="C15" s="26">
        <v>7.5</v>
      </c>
    </row>
    <row r="16" spans="1:3" x14ac:dyDescent="0.35">
      <c r="A16" s="7"/>
      <c r="B16" s="9" t="s">
        <v>8</v>
      </c>
      <c r="C16" s="26">
        <f>C15</f>
        <v>7.5</v>
      </c>
    </row>
    <row r="17" spans="1:3" x14ac:dyDescent="0.35">
      <c r="A17" s="7"/>
      <c r="B17" s="9"/>
      <c r="C17" s="6"/>
    </row>
    <row r="18" spans="1:3" x14ac:dyDescent="0.35">
      <c r="A18" s="7">
        <v>4</v>
      </c>
      <c r="B18" s="9" t="s">
        <v>10</v>
      </c>
      <c r="C18" s="6"/>
    </row>
    <row r="19" spans="1:3" x14ac:dyDescent="0.35">
      <c r="A19" s="7" t="s">
        <v>5</v>
      </c>
      <c r="B19" s="9" t="s">
        <v>11</v>
      </c>
      <c r="C19" s="26">
        <v>34.35</v>
      </c>
    </row>
    <row r="20" spans="1:3" x14ac:dyDescent="0.35">
      <c r="A20" s="7"/>
      <c r="B20" s="9" t="s">
        <v>8</v>
      </c>
      <c r="C20" s="27">
        <f>C19</f>
        <v>34.35</v>
      </c>
    </row>
    <row r="21" spans="1:3" x14ac:dyDescent="0.35">
      <c r="A21" s="7"/>
      <c r="B21" s="9"/>
      <c r="C21" s="6"/>
    </row>
    <row r="22" spans="1:3" x14ac:dyDescent="0.35">
      <c r="A22" s="7">
        <v>5</v>
      </c>
      <c r="B22" s="9" t="s">
        <v>12</v>
      </c>
      <c r="C22" s="6"/>
    </row>
    <row r="23" spans="1:3" x14ac:dyDescent="0.35">
      <c r="A23" s="7" t="s">
        <v>5</v>
      </c>
      <c r="B23" s="9" t="s">
        <v>13</v>
      </c>
      <c r="C23" s="66">
        <v>0</v>
      </c>
    </row>
    <row r="24" spans="1:3" x14ac:dyDescent="0.35">
      <c r="A24" s="7"/>
      <c r="B24" s="9"/>
      <c r="C24" s="66"/>
    </row>
    <row r="25" spans="1:3" x14ac:dyDescent="0.35">
      <c r="A25" s="7">
        <v>6</v>
      </c>
      <c r="B25" s="9" t="s">
        <v>14</v>
      </c>
      <c r="C25" s="66">
        <v>15</v>
      </c>
    </row>
    <row r="26" spans="1:3" x14ac:dyDescent="0.35">
      <c r="A26" s="7"/>
      <c r="B26" s="9"/>
      <c r="C26" s="66"/>
    </row>
    <row r="27" spans="1:3" x14ac:dyDescent="0.35">
      <c r="A27" s="7">
        <v>7</v>
      </c>
      <c r="B27" s="9" t="s">
        <v>15</v>
      </c>
      <c r="C27" s="66"/>
    </row>
    <row r="28" spans="1:3" x14ac:dyDescent="0.35">
      <c r="A28" s="7" t="s">
        <v>5</v>
      </c>
      <c r="B28" s="9" t="s">
        <v>16</v>
      </c>
      <c r="C28" s="66">
        <v>0</v>
      </c>
    </row>
    <row r="29" spans="1:3" x14ac:dyDescent="0.35">
      <c r="A29" s="7"/>
      <c r="B29" s="9" t="s">
        <v>8</v>
      </c>
      <c r="C29" s="66"/>
    </row>
    <row r="30" spans="1:3" x14ac:dyDescent="0.35">
      <c r="A30" s="7"/>
      <c r="B30" s="9"/>
      <c r="C30" s="66"/>
    </row>
    <row r="31" spans="1:3" x14ac:dyDescent="0.35">
      <c r="A31" s="7">
        <v>8</v>
      </c>
      <c r="B31" s="9" t="s">
        <v>17</v>
      </c>
      <c r="C31" s="6"/>
    </row>
    <row r="32" spans="1:3" ht="29" x14ac:dyDescent="0.35">
      <c r="A32" s="7"/>
      <c r="B32" s="10" t="s">
        <v>18</v>
      </c>
      <c r="C32" s="6"/>
    </row>
    <row r="33" spans="1:3" x14ac:dyDescent="0.35">
      <c r="A33" s="7" t="s">
        <v>5</v>
      </c>
      <c r="B33" s="9" t="s">
        <v>19</v>
      </c>
      <c r="C33" s="66">
        <v>0</v>
      </c>
    </row>
    <row r="34" spans="1:3" x14ac:dyDescent="0.35">
      <c r="A34" s="7" t="s">
        <v>20</v>
      </c>
      <c r="B34" s="9" t="s">
        <v>21</v>
      </c>
      <c r="C34" s="66">
        <v>0</v>
      </c>
    </row>
    <row r="35" spans="1:3" x14ac:dyDescent="0.35">
      <c r="A35" s="7"/>
      <c r="B35" s="9" t="s">
        <v>8</v>
      </c>
      <c r="C35" s="66">
        <f>SUM(C33:C34)</f>
        <v>0</v>
      </c>
    </row>
    <row r="36" spans="1:3" x14ac:dyDescent="0.35">
      <c r="A36" s="7"/>
      <c r="B36" s="9"/>
      <c r="C36" s="66"/>
    </row>
    <row r="37" spans="1:3" x14ac:dyDescent="0.35">
      <c r="A37" s="7">
        <v>9</v>
      </c>
      <c r="B37" s="9" t="s">
        <v>186</v>
      </c>
      <c r="C37" s="66">
        <v>0</v>
      </c>
    </row>
    <row r="38" spans="1:3" x14ac:dyDescent="0.35">
      <c r="A38" s="7"/>
      <c r="B38" s="9"/>
      <c r="C38" s="6"/>
    </row>
    <row r="39" spans="1:3" x14ac:dyDescent="0.35">
      <c r="A39" s="8"/>
      <c r="B39" s="11" t="s">
        <v>22</v>
      </c>
      <c r="C39" s="28">
        <f>C35+C28+C25+C20+C16+C23+C37+C12</f>
        <v>56.85</v>
      </c>
    </row>
    <row r="40" spans="1:3" x14ac:dyDescent="0.35">
      <c r="A40" s="1"/>
    </row>
    <row r="41" spans="1:3" x14ac:dyDescent="0.35">
      <c r="A41" s="1"/>
    </row>
    <row r="42" spans="1:3" x14ac:dyDescent="0.35">
      <c r="A42" s="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D81CD-D127-4212-A91B-7CC6FC2C782F}">
  <dimension ref="A1:D8"/>
  <sheetViews>
    <sheetView workbookViewId="0">
      <selection activeCell="C6" sqref="C6:C7"/>
    </sheetView>
  </sheetViews>
  <sheetFormatPr defaultRowHeight="14.5" x14ac:dyDescent="0.35"/>
  <cols>
    <col min="2" max="2" width="22.08984375" customWidth="1"/>
    <col min="3" max="3" width="18.81640625" bestFit="1" customWidth="1"/>
  </cols>
  <sheetData>
    <row r="1" spans="1:4" x14ac:dyDescent="0.35">
      <c r="A1" s="22" t="s">
        <v>23</v>
      </c>
    </row>
    <row r="3" spans="1:4" x14ac:dyDescent="0.35">
      <c r="A3" s="36" t="s">
        <v>24</v>
      </c>
      <c r="B3" s="32" t="s">
        <v>25</v>
      </c>
      <c r="C3" s="33" t="s">
        <v>4</v>
      </c>
    </row>
    <row r="4" spans="1:4" x14ac:dyDescent="0.35">
      <c r="A4" s="14">
        <v>1</v>
      </c>
      <c r="B4" s="5" t="s">
        <v>26</v>
      </c>
      <c r="C4" s="97">
        <v>5.6849999999999996</v>
      </c>
      <c r="D4" s="42"/>
    </row>
    <row r="5" spans="1:4" x14ac:dyDescent="0.35">
      <c r="A5" s="14">
        <v>2</v>
      </c>
      <c r="B5" s="5" t="s">
        <v>27</v>
      </c>
      <c r="C5" s="27">
        <v>0</v>
      </c>
      <c r="D5" s="2"/>
    </row>
    <row r="6" spans="1:4" x14ac:dyDescent="0.35">
      <c r="A6" s="14">
        <v>3</v>
      </c>
      <c r="B6" s="5" t="s">
        <v>28</v>
      </c>
      <c r="C6" s="96">
        <f>C8-C7-C4</f>
        <v>36.164999999999999</v>
      </c>
      <c r="D6" s="42"/>
    </row>
    <row r="7" spans="1:4" x14ac:dyDescent="0.35">
      <c r="A7" s="14">
        <v>4</v>
      </c>
      <c r="B7" s="5" t="s">
        <v>29</v>
      </c>
      <c r="C7" s="66">
        <v>15</v>
      </c>
    </row>
    <row r="8" spans="1:4" x14ac:dyDescent="0.35">
      <c r="A8" s="13"/>
      <c r="B8" s="4" t="s">
        <v>8</v>
      </c>
      <c r="C8" s="37">
        <f>'Ann 1'!C39</f>
        <v>56.85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B2858-CA67-4C56-BFC5-E2781F80B181}">
  <dimension ref="A1:I24"/>
  <sheetViews>
    <sheetView workbookViewId="0">
      <selection activeCell="H19" sqref="H19"/>
    </sheetView>
  </sheetViews>
  <sheetFormatPr defaultRowHeight="14.5" x14ac:dyDescent="0.35"/>
  <cols>
    <col min="1" max="1" width="3.6328125" customWidth="1"/>
    <col min="2" max="2" width="26.08984375" customWidth="1"/>
    <col min="4" max="4" width="12.7265625" bestFit="1" customWidth="1"/>
    <col min="6" max="6" width="10.54296875" customWidth="1"/>
    <col min="7" max="7" width="11" bestFit="1" customWidth="1"/>
    <col min="9" max="9" width="9.1796875" bestFit="1" customWidth="1"/>
  </cols>
  <sheetData>
    <row r="1" spans="1:7" x14ac:dyDescent="0.35">
      <c r="A1" s="22" t="s">
        <v>30</v>
      </c>
    </row>
    <row r="3" spans="1:7" x14ac:dyDescent="0.35">
      <c r="A3" s="36" t="s">
        <v>33</v>
      </c>
      <c r="B3" s="32"/>
      <c r="C3" s="32"/>
      <c r="D3" s="32"/>
      <c r="E3" s="32" t="s">
        <v>31</v>
      </c>
      <c r="F3" s="32"/>
      <c r="G3" s="78" t="s">
        <v>32</v>
      </c>
    </row>
    <row r="4" spans="1:7" x14ac:dyDescent="0.35">
      <c r="A4" s="14">
        <v>1</v>
      </c>
      <c r="B4" s="39" t="s">
        <v>233</v>
      </c>
      <c r="C4" s="5"/>
      <c r="D4" s="39"/>
      <c r="E4" s="39">
        <v>1</v>
      </c>
      <c r="F4" s="17"/>
      <c r="G4" s="79">
        <v>650000</v>
      </c>
    </row>
    <row r="5" spans="1:7" x14ac:dyDescent="0.35">
      <c r="A5" s="14">
        <v>2</v>
      </c>
      <c r="B5" s="39" t="s">
        <v>234</v>
      </c>
      <c r="C5" s="5"/>
      <c r="D5" s="39"/>
      <c r="E5" s="39">
        <v>1</v>
      </c>
      <c r="F5" s="17"/>
      <c r="G5" s="79">
        <v>350000</v>
      </c>
    </row>
    <row r="6" spans="1:7" x14ac:dyDescent="0.35">
      <c r="A6" s="14">
        <v>3</v>
      </c>
      <c r="B6" s="39" t="s">
        <v>235</v>
      </c>
      <c r="C6" s="5"/>
      <c r="D6" s="39"/>
      <c r="E6" s="39">
        <v>1</v>
      </c>
      <c r="F6" s="17"/>
      <c r="G6" s="79">
        <v>235000</v>
      </c>
    </row>
    <row r="7" spans="1:7" x14ac:dyDescent="0.35">
      <c r="A7" s="14">
        <v>4</v>
      </c>
      <c r="B7" s="39" t="s">
        <v>236</v>
      </c>
      <c r="C7" s="5"/>
      <c r="D7" s="39"/>
      <c r="E7" s="39">
        <v>1</v>
      </c>
      <c r="F7" s="17"/>
      <c r="G7" s="79">
        <v>285000</v>
      </c>
    </row>
    <row r="8" spans="1:7" x14ac:dyDescent="0.35">
      <c r="A8" s="14">
        <v>5</v>
      </c>
      <c r="B8" s="39" t="s">
        <v>237</v>
      </c>
      <c r="C8" s="5"/>
      <c r="D8" s="39"/>
      <c r="E8" s="39">
        <v>1</v>
      </c>
      <c r="F8" s="17"/>
      <c r="G8" s="79">
        <v>175000</v>
      </c>
    </row>
    <row r="9" spans="1:7" x14ac:dyDescent="0.35">
      <c r="A9" s="14">
        <v>6</v>
      </c>
      <c r="B9" s="39" t="s">
        <v>238</v>
      </c>
      <c r="C9" s="5"/>
      <c r="D9" s="39"/>
      <c r="E9" s="39">
        <v>1</v>
      </c>
      <c r="F9" s="17"/>
      <c r="G9" s="79">
        <v>175000</v>
      </c>
    </row>
    <row r="10" spans="1:7" x14ac:dyDescent="0.35">
      <c r="A10" s="14">
        <v>7</v>
      </c>
      <c r="B10" s="39" t="s">
        <v>239</v>
      </c>
      <c r="C10" s="5"/>
      <c r="D10" s="39"/>
      <c r="E10" s="39">
        <v>4</v>
      </c>
      <c r="F10" s="17"/>
      <c r="G10" s="79">
        <v>300000</v>
      </c>
    </row>
    <row r="11" spans="1:7" x14ac:dyDescent="0.35">
      <c r="A11" s="14">
        <v>8</v>
      </c>
      <c r="B11" s="39" t="s">
        <v>240</v>
      </c>
      <c r="C11" s="5"/>
      <c r="D11" s="39"/>
      <c r="E11" s="39">
        <v>1</v>
      </c>
      <c r="F11" s="17"/>
      <c r="G11" s="79">
        <v>75000</v>
      </c>
    </row>
    <row r="12" spans="1:7" x14ac:dyDescent="0.35">
      <c r="A12" s="14">
        <v>9</v>
      </c>
      <c r="B12" s="39" t="s">
        <v>241</v>
      </c>
      <c r="C12" s="5"/>
      <c r="D12" s="39"/>
      <c r="E12" s="39">
        <v>1</v>
      </c>
      <c r="F12" s="17"/>
      <c r="G12" s="79">
        <v>30000</v>
      </c>
    </row>
    <row r="13" spans="1:7" x14ac:dyDescent="0.35">
      <c r="A13" s="14">
        <v>10</v>
      </c>
      <c r="B13" s="39" t="s">
        <v>242</v>
      </c>
      <c r="C13" s="5"/>
      <c r="D13" s="39"/>
      <c r="E13" s="39">
        <v>1</v>
      </c>
      <c r="F13" s="17"/>
      <c r="G13" s="79">
        <v>5000</v>
      </c>
    </row>
    <row r="14" spans="1:7" x14ac:dyDescent="0.35">
      <c r="A14" s="14">
        <v>11</v>
      </c>
      <c r="B14" s="39" t="s">
        <v>243</v>
      </c>
      <c r="C14" s="5"/>
      <c r="D14" s="39"/>
      <c r="E14" s="39">
        <v>1</v>
      </c>
      <c r="F14" s="17"/>
      <c r="G14" s="79">
        <v>80000</v>
      </c>
    </row>
    <row r="15" spans="1:7" x14ac:dyDescent="0.35">
      <c r="A15" s="14">
        <v>12</v>
      </c>
      <c r="B15" s="39" t="s">
        <v>244</v>
      </c>
      <c r="C15" s="5"/>
      <c r="D15" s="39"/>
      <c r="E15" s="39">
        <v>1</v>
      </c>
      <c r="F15" s="17"/>
      <c r="G15" s="79">
        <v>150000</v>
      </c>
    </row>
    <row r="16" spans="1:7" x14ac:dyDescent="0.35">
      <c r="A16" s="14">
        <v>13</v>
      </c>
      <c r="B16" s="39" t="s">
        <v>245</v>
      </c>
      <c r="C16" s="5"/>
      <c r="D16" s="39"/>
      <c r="E16" s="39">
        <v>1</v>
      </c>
      <c r="F16" s="17"/>
      <c r="G16" s="79">
        <v>355000</v>
      </c>
    </row>
    <row r="17" spans="1:9" x14ac:dyDescent="0.35">
      <c r="A17" s="14">
        <v>14</v>
      </c>
      <c r="B17" s="39" t="s">
        <v>246</v>
      </c>
      <c r="C17" s="5"/>
      <c r="D17" s="39"/>
      <c r="E17" s="39">
        <v>1</v>
      </c>
      <c r="F17" s="17"/>
      <c r="G17" s="79">
        <v>275000</v>
      </c>
    </row>
    <row r="18" spans="1:9" x14ac:dyDescent="0.35">
      <c r="A18" s="14">
        <v>15</v>
      </c>
      <c r="B18" s="39" t="s">
        <v>247</v>
      </c>
      <c r="C18" s="5"/>
      <c r="D18" s="39"/>
      <c r="E18" s="39">
        <v>1</v>
      </c>
      <c r="F18" s="17"/>
      <c r="G18" s="79">
        <v>240000</v>
      </c>
      <c r="I18" s="16"/>
    </row>
    <row r="19" spans="1:9" x14ac:dyDescent="0.35">
      <c r="A19" s="14">
        <v>16</v>
      </c>
      <c r="B19" s="39" t="s">
        <v>248</v>
      </c>
      <c r="C19" s="5"/>
      <c r="D19" s="39"/>
      <c r="E19" s="39">
        <v>1</v>
      </c>
      <c r="F19" s="17"/>
      <c r="G19" s="79">
        <v>55000</v>
      </c>
    </row>
    <row r="20" spans="1:9" s="22" customFormat="1" x14ac:dyDescent="0.35">
      <c r="A20" s="19" t="s">
        <v>34</v>
      </c>
      <c r="B20" s="20"/>
      <c r="C20" s="20"/>
      <c r="D20" s="20"/>
      <c r="E20" s="20"/>
      <c r="F20" s="20"/>
      <c r="G20" s="21">
        <f>SUM(G4:G19)</f>
        <v>3435000</v>
      </c>
    </row>
    <row r="21" spans="1:9" x14ac:dyDescent="0.35">
      <c r="A21" s="14"/>
      <c r="B21" s="5"/>
      <c r="C21" s="5"/>
      <c r="D21" s="5"/>
      <c r="E21" s="5"/>
      <c r="F21" s="5"/>
      <c r="G21" s="6"/>
    </row>
    <row r="22" spans="1:9" s="22" customFormat="1" x14ac:dyDescent="0.35">
      <c r="A22" s="19" t="s">
        <v>35</v>
      </c>
      <c r="B22" s="20"/>
      <c r="C22" s="20"/>
      <c r="D22" s="20"/>
      <c r="E22" s="20"/>
      <c r="F22" s="20"/>
      <c r="G22" s="21">
        <f>G20</f>
        <v>3435000</v>
      </c>
    </row>
    <row r="23" spans="1:9" x14ac:dyDescent="0.35">
      <c r="G23" s="24"/>
    </row>
    <row r="24" spans="1:9" x14ac:dyDescent="0.35">
      <c r="G24" s="1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B6FA6-76E6-4673-8AD3-A2A7C9EA52B0}">
  <sheetPr>
    <pageSetUpPr fitToPage="1"/>
  </sheetPr>
  <dimension ref="A1:K44"/>
  <sheetViews>
    <sheetView topLeftCell="A16" workbookViewId="0">
      <selection activeCell="D14" sqref="D14"/>
    </sheetView>
  </sheetViews>
  <sheetFormatPr defaultRowHeight="14.5" x14ac:dyDescent="0.35"/>
  <cols>
    <col min="2" max="2" width="55.7265625" bestFit="1" customWidth="1"/>
    <col min="3" max="11" width="15.6328125" bestFit="1" customWidth="1"/>
  </cols>
  <sheetData>
    <row r="1" spans="1:11" x14ac:dyDescent="0.35">
      <c r="A1" s="22" t="s">
        <v>36</v>
      </c>
    </row>
    <row r="3" spans="1:11" x14ac:dyDescent="0.35">
      <c r="A3" s="38" t="s">
        <v>37</v>
      </c>
      <c r="B3" s="38" t="s">
        <v>38</v>
      </c>
      <c r="C3" s="91" t="s">
        <v>48</v>
      </c>
      <c r="D3" s="91"/>
      <c r="E3" s="91"/>
      <c r="F3" s="91"/>
      <c r="G3" s="91"/>
      <c r="H3" s="91"/>
      <c r="I3" s="91"/>
      <c r="J3" s="91"/>
      <c r="K3" s="91"/>
    </row>
    <row r="4" spans="1:11" x14ac:dyDescent="0.35">
      <c r="A4" s="38"/>
      <c r="B4" s="38"/>
      <c r="C4" s="38" t="s">
        <v>39</v>
      </c>
      <c r="D4" s="38" t="s">
        <v>40</v>
      </c>
      <c r="E4" s="38" t="s">
        <v>41</v>
      </c>
      <c r="F4" s="38" t="s">
        <v>42</v>
      </c>
      <c r="G4" s="38" t="s">
        <v>43</v>
      </c>
      <c r="H4" s="38" t="s">
        <v>44</v>
      </c>
      <c r="I4" s="38" t="s">
        <v>45</v>
      </c>
      <c r="J4" s="38" t="s">
        <v>46</v>
      </c>
      <c r="K4" s="38" t="s">
        <v>47</v>
      </c>
    </row>
    <row r="5" spans="1:11" x14ac:dyDescent="0.35">
      <c r="A5" s="12"/>
      <c r="B5" s="12" t="s">
        <v>49</v>
      </c>
      <c r="C5" s="12">
        <v>12</v>
      </c>
      <c r="D5" s="12">
        <v>12</v>
      </c>
      <c r="E5" s="12">
        <v>12</v>
      </c>
      <c r="F5" s="12">
        <v>12</v>
      </c>
      <c r="G5" s="12">
        <v>12</v>
      </c>
      <c r="H5" s="12">
        <v>12</v>
      </c>
      <c r="I5" s="12">
        <v>12</v>
      </c>
      <c r="J5" s="12">
        <v>12</v>
      </c>
      <c r="K5" s="12">
        <v>12</v>
      </c>
    </row>
    <row r="6" spans="1:11" x14ac:dyDescent="0.3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x14ac:dyDescent="0.35">
      <c r="A7" s="12"/>
      <c r="B7" s="12" t="s">
        <v>209</v>
      </c>
      <c r="C7" s="30">
        <f>Budgets!B5*1.1*Budgets!$D$18</f>
        <v>72230400.000000015</v>
      </c>
      <c r="D7" s="30">
        <f>Budgets!C5*1.1*Budgets!$D$18</f>
        <v>78249600.000000015</v>
      </c>
      <c r="E7" s="30">
        <f>Budgets!D5*1.1*Budgets!$D$18</f>
        <v>84268800</v>
      </c>
      <c r="F7" s="30">
        <f>Budgets!E5*1.1*Budgets!$D$18</f>
        <v>90288000</v>
      </c>
      <c r="G7" s="30">
        <f>Budgets!F5*1.1*Budgets!$D$18</f>
        <v>96307200</v>
      </c>
      <c r="H7" s="30">
        <f>Budgets!G5*1.1*Budgets!$D$18</f>
        <v>102326400</v>
      </c>
      <c r="I7" s="30">
        <f>Budgets!H5*1.1*Budgets!$D$18</f>
        <v>108345600</v>
      </c>
      <c r="J7" s="30">
        <f>Budgets!I5*1.1*Budgets!$D$18</f>
        <v>114364800.00000001</v>
      </c>
      <c r="K7" s="30">
        <f>Budgets!J5*1.1*Budgets!$D$18</f>
        <v>120384000.00000001</v>
      </c>
    </row>
    <row r="8" spans="1:11" x14ac:dyDescent="0.35">
      <c r="A8" s="12"/>
      <c r="B8" s="12" t="s">
        <v>211</v>
      </c>
      <c r="C8" s="30">
        <f>110000+C43</f>
        <v>1070000</v>
      </c>
      <c r="D8" s="30">
        <f t="shared" ref="D8:K8" si="0">110000+D43</f>
        <v>1118000</v>
      </c>
      <c r="E8" s="30">
        <f t="shared" si="0"/>
        <v>1168400</v>
      </c>
      <c r="F8" s="30">
        <f t="shared" si="0"/>
        <v>1221320</v>
      </c>
      <c r="G8" s="30">
        <f t="shared" si="0"/>
        <v>1276886</v>
      </c>
      <c r="H8" s="30">
        <f t="shared" si="0"/>
        <v>1335230.3</v>
      </c>
      <c r="I8" s="30">
        <f t="shared" si="0"/>
        <v>1396491.8150000002</v>
      </c>
      <c r="J8" s="30">
        <f t="shared" si="0"/>
        <v>1460816.4057500002</v>
      </c>
      <c r="K8" s="30">
        <f t="shared" si="0"/>
        <v>1528357.2260375002</v>
      </c>
    </row>
    <row r="9" spans="1:11" x14ac:dyDescent="0.35">
      <c r="A9" s="12"/>
      <c r="B9" s="12" t="s">
        <v>251</v>
      </c>
      <c r="C9" s="30">
        <f>C7*2.5%</f>
        <v>1805760.0000000005</v>
      </c>
      <c r="D9" s="30">
        <f t="shared" ref="D9:K9" si="1">D7*2.5%</f>
        <v>1956240.0000000005</v>
      </c>
      <c r="E9" s="30">
        <f t="shared" si="1"/>
        <v>2106720</v>
      </c>
      <c r="F9" s="30">
        <f t="shared" si="1"/>
        <v>2257200</v>
      </c>
      <c r="G9" s="30">
        <f t="shared" si="1"/>
        <v>2407680</v>
      </c>
      <c r="H9" s="30">
        <f t="shared" si="1"/>
        <v>2558160</v>
      </c>
      <c r="I9" s="30">
        <f t="shared" si="1"/>
        <v>2708640</v>
      </c>
      <c r="J9" s="30">
        <f t="shared" si="1"/>
        <v>2859120.0000000005</v>
      </c>
      <c r="K9" s="30">
        <f t="shared" si="1"/>
        <v>3009600.0000000005</v>
      </c>
    </row>
    <row r="10" spans="1:11" x14ac:dyDescent="0.35">
      <c r="A10" s="12"/>
      <c r="B10" s="12" t="s">
        <v>215</v>
      </c>
      <c r="C10" s="30">
        <f>SUM(C7:C9)</f>
        <v>75106160.000000015</v>
      </c>
      <c r="D10" s="30">
        <f t="shared" ref="D10:K10" si="2">SUM(D7:D9)</f>
        <v>81323840.000000015</v>
      </c>
      <c r="E10" s="30">
        <f t="shared" si="2"/>
        <v>87543920</v>
      </c>
      <c r="F10" s="30">
        <f t="shared" si="2"/>
        <v>93766520</v>
      </c>
      <c r="G10" s="30">
        <f t="shared" si="2"/>
        <v>99991766</v>
      </c>
      <c r="H10" s="30">
        <f t="shared" si="2"/>
        <v>106219790.3</v>
      </c>
      <c r="I10" s="30">
        <f t="shared" si="2"/>
        <v>112450731.815</v>
      </c>
      <c r="J10" s="30">
        <f t="shared" si="2"/>
        <v>118684736.40575002</v>
      </c>
      <c r="K10" s="30">
        <f t="shared" si="2"/>
        <v>124921957.22603752</v>
      </c>
    </row>
    <row r="11" spans="1:11" x14ac:dyDescent="0.35">
      <c r="A11" s="12"/>
      <c r="B11" s="12" t="s">
        <v>216</v>
      </c>
      <c r="C11" s="30">
        <v>0</v>
      </c>
      <c r="D11" s="30">
        <f>C12</f>
        <v>673920</v>
      </c>
      <c r="E11" s="30">
        <f t="shared" ref="E11:K11" si="3">D12</f>
        <v>1404000</v>
      </c>
      <c r="F11" s="30">
        <f t="shared" si="3"/>
        <v>2190240</v>
      </c>
      <c r="G11" s="30">
        <f t="shared" si="3"/>
        <v>3032640</v>
      </c>
      <c r="H11" s="30">
        <f t="shared" si="3"/>
        <v>2134080</v>
      </c>
      <c r="I11" s="30">
        <f t="shared" si="3"/>
        <v>1179360</v>
      </c>
      <c r="J11" s="30">
        <f t="shared" si="3"/>
        <v>168480</v>
      </c>
      <c r="K11" s="30">
        <f t="shared" si="3"/>
        <v>0</v>
      </c>
    </row>
    <row r="12" spans="1:11" x14ac:dyDescent="0.35">
      <c r="A12" s="12"/>
      <c r="B12" s="12" t="s">
        <v>217</v>
      </c>
      <c r="C12" s="30">
        <f>Budgets!B26*39</f>
        <v>673920</v>
      </c>
      <c r="D12" s="30">
        <f>Budgets!C26*39</f>
        <v>1404000</v>
      </c>
      <c r="E12" s="30">
        <f>Budgets!D26*39</f>
        <v>2190240</v>
      </c>
      <c r="F12" s="30">
        <f>Budgets!E26*39</f>
        <v>3032640</v>
      </c>
      <c r="G12" s="30">
        <f>Budgets!F26*39</f>
        <v>2134080</v>
      </c>
      <c r="H12" s="30">
        <f>Budgets!G26*39</f>
        <v>1179360</v>
      </c>
      <c r="I12" s="30">
        <f>Budgets!H26*39</f>
        <v>168480</v>
      </c>
      <c r="J12" s="30">
        <f>Budgets!I26*39</f>
        <v>0</v>
      </c>
      <c r="K12" s="30">
        <f>Budgets!J26*39</f>
        <v>0</v>
      </c>
    </row>
    <row r="13" spans="1:11" x14ac:dyDescent="0.35">
      <c r="A13" s="12"/>
      <c r="B13" s="12" t="s">
        <v>219</v>
      </c>
      <c r="C13" s="30">
        <f>C10+C11-C12</f>
        <v>74432240.000000015</v>
      </c>
      <c r="D13" s="30">
        <f t="shared" ref="D13:K13" si="4">D10+D11-D12</f>
        <v>80593760.000000015</v>
      </c>
      <c r="E13" s="30">
        <f t="shared" si="4"/>
        <v>86757680</v>
      </c>
      <c r="F13" s="30">
        <f t="shared" si="4"/>
        <v>92924120</v>
      </c>
      <c r="G13" s="30">
        <f t="shared" si="4"/>
        <v>100890326</v>
      </c>
      <c r="H13" s="30">
        <f t="shared" si="4"/>
        <v>107174510.3</v>
      </c>
      <c r="I13" s="30">
        <f t="shared" si="4"/>
        <v>113461611.815</v>
      </c>
      <c r="J13" s="30">
        <f t="shared" si="4"/>
        <v>118853216.40575002</v>
      </c>
      <c r="K13" s="30">
        <f t="shared" si="4"/>
        <v>124921957.22603752</v>
      </c>
    </row>
    <row r="14" spans="1:11" x14ac:dyDescent="0.35">
      <c r="A14" s="12"/>
      <c r="B14" s="12"/>
      <c r="C14" s="30"/>
      <c r="D14" s="30"/>
      <c r="E14" s="30"/>
      <c r="F14" s="30"/>
      <c r="G14" s="30"/>
      <c r="H14" s="30"/>
      <c r="I14" s="30"/>
      <c r="J14" s="30"/>
      <c r="K14" s="30"/>
    </row>
    <row r="15" spans="1:11" x14ac:dyDescent="0.35">
      <c r="A15" s="12"/>
      <c r="B15" s="12"/>
      <c r="C15" s="30"/>
      <c r="D15" s="30"/>
      <c r="E15" s="30"/>
      <c r="F15" s="30"/>
      <c r="G15" s="30"/>
      <c r="H15" s="30"/>
      <c r="I15" s="30"/>
      <c r="J15" s="30"/>
      <c r="K15" s="30"/>
    </row>
    <row r="16" spans="1:11" x14ac:dyDescent="0.35">
      <c r="A16" s="12"/>
      <c r="B16" s="12" t="s">
        <v>51</v>
      </c>
      <c r="C16" s="30">
        <f>'Ann 8'!E12</f>
        <v>1468800</v>
      </c>
      <c r="D16" s="30">
        <f>1.06*C16</f>
        <v>1556928</v>
      </c>
      <c r="E16" s="30">
        <f t="shared" ref="E16:K16" si="5">1.06*D16</f>
        <v>1650343.6800000002</v>
      </c>
      <c r="F16" s="30">
        <f t="shared" si="5"/>
        <v>1749364.3008000003</v>
      </c>
      <c r="G16" s="30">
        <f t="shared" si="5"/>
        <v>1854326.1588480005</v>
      </c>
      <c r="H16" s="30">
        <f t="shared" si="5"/>
        <v>1965585.7283788805</v>
      </c>
      <c r="I16" s="30">
        <f t="shared" si="5"/>
        <v>2083520.8720816134</v>
      </c>
      <c r="J16" s="30">
        <f t="shared" si="5"/>
        <v>2208532.1244065105</v>
      </c>
      <c r="K16" s="30">
        <f t="shared" si="5"/>
        <v>2341044.0518709011</v>
      </c>
    </row>
    <row r="17" spans="1:11" x14ac:dyDescent="0.35">
      <c r="A17" s="12"/>
      <c r="B17" s="12" t="s">
        <v>220</v>
      </c>
      <c r="C17" s="30">
        <f>Budgets!B6*2.5</f>
        <v>4276800</v>
      </c>
      <c r="D17" s="30">
        <f>Budgets!C6*2.5</f>
        <v>4633200</v>
      </c>
      <c r="E17" s="30">
        <f>Budgets!D6*2.5</f>
        <v>4989599.9999999991</v>
      </c>
      <c r="F17" s="30">
        <f>Budgets!E6*2.5</f>
        <v>5346000</v>
      </c>
      <c r="G17" s="30">
        <f>Budgets!F6*2.5</f>
        <v>5817600</v>
      </c>
      <c r="H17" s="30">
        <f>Budgets!G6*2.5</f>
        <v>6181200</v>
      </c>
      <c r="I17" s="30">
        <f>Budgets!H6*2.5</f>
        <v>6544800</v>
      </c>
      <c r="J17" s="30">
        <f>Budgets!I6*2.5</f>
        <v>6850800</v>
      </c>
      <c r="K17" s="30">
        <f>Budgets!J6*2.5</f>
        <v>7200000</v>
      </c>
    </row>
    <row r="18" spans="1:11" x14ac:dyDescent="0.35">
      <c r="A18" s="12"/>
      <c r="B18" s="12" t="s">
        <v>8</v>
      </c>
      <c r="C18" s="30">
        <f t="shared" ref="C18:K18" si="6">SUM(C16:C17)</f>
        <v>5745600</v>
      </c>
      <c r="D18" s="30">
        <f t="shared" si="6"/>
        <v>6190128</v>
      </c>
      <c r="E18" s="30">
        <f t="shared" si="6"/>
        <v>6639943.6799999997</v>
      </c>
      <c r="F18" s="30">
        <f t="shared" si="6"/>
        <v>7095364.3008000003</v>
      </c>
      <c r="G18" s="30">
        <f t="shared" si="6"/>
        <v>7671926.1588480007</v>
      </c>
      <c r="H18" s="30">
        <f t="shared" si="6"/>
        <v>8146785.7283788808</v>
      </c>
      <c r="I18" s="30">
        <f t="shared" si="6"/>
        <v>8628320.8720816132</v>
      </c>
      <c r="J18" s="30">
        <f t="shared" si="6"/>
        <v>9059332.124406511</v>
      </c>
      <c r="K18" s="30">
        <f t="shared" si="6"/>
        <v>9541044.0518709011</v>
      </c>
    </row>
    <row r="19" spans="1:11" x14ac:dyDescent="0.35">
      <c r="A19" s="12"/>
      <c r="B19" s="12"/>
      <c r="C19" s="30"/>
      <c r="D19" s="30"/>
      <c r="E19" s="30"/>
      <c r="F19" s="30"/>
      <c r="G19" s="30"/>
      <c r="H19" s="30"/>
      <c r="I19" s="30"/>
      <c r="J19" s="30"/>
      <c r="K19" s="30"/>
    </row>
    <row r="20" spans="1:11" x14ac:dyDescent="0.35">
      <c r="A20" s="12"/>
      <c r="B20" s="12" t="s">
        <v>102</v>
      </c>
      <c r="C20" s="30">
        <f t="shared" ref="C20:K20" si="7">C18+C13</f>
        <v>80177840.000000015</v>
      </c>
      <c r="D20" s="30">
        <f t="shared" si="7"/>
        <v>86783888.000000015</v>
      </c>
      <c r="E20" s="30">
        <f t="shared" si="7"/>
        <v>93397623.680000007</v>
      </c>
      <c r="F20" s="30">
        <f t="shared" si="7"/>
        <v>100019484.3008</v>
      </c>
      <c r="G20" s="30">
        <f t="shared" si="7"/>
        <v>108562252.158848</v>
      </c>
      <c r="H20" s="30">
        <f t="shared" si="7"/>
        <v>115321296.02837887</v>
      </c>
      <c r="I20" s="30">
        <f t="shared" si="7"/>
        <v>122089932.68708161</v>
      </c>
      <c r="J20" s="30">
        <f t="shared" si="7"/>
        <v>127912548.53015654</v>
      </c>
      <c r="K20" s="30">
        <f t="shared" si="7"/>
        <v>134463001.27790841</v>
      </c>
    </row>
    <row r="21" spans="1:11" x14ac:dyDescent="0.35">
      <c r="A21" s="12"/>
      <c r="B21" s="12" t="s">
        <v>103</v>
      </c>
      <c r="C21" s="30">
        <f>Budgets!B7</f>
        <v>86400000</v>
      </c>
      <c r="D21" s="30">
        <f>Budgets!C7</f>
        <v>92448000</v>
      </c>
      <c r="E21" s="30">
        <f>Budgets!D7</f>
        <v>98919360</v>
      </c>
      <c r="F21" s="30">
        <f>Budgets!E7</f>
        <v>105843715.2</v>
      </c>
      <c r="G21" s="30">
        <f>Budgets!F7</f>
        <v>113252775.26400001</v>
      </c>
      <c r="H21" s="30">
        <f>Budgets!G7</f>
        <v>121180469.53248002</v>
      </c>
      <c r="I21" s="30">
        <f>Budgets!H7</f>
        <v>129663102.39975363</v>
      </c>
      <c r="J21" s="30">
        <f>Budgets!I7</f>
        <v>138739519.56773639</v>
      </c>
      <c r="K21" s="30">
        <f>Budgets!J7</f>
        <v>148451285.93747795</v>
      </c>
    </row>
    <row r="22" spans="1:11" x14ac:dyDescent="0.35">
      <c r="A22" s="12"/>
      <c r="B22" s="12" t="s">
        <v>104</v>
      </c>
      <c r="C22" s="30">
        <f>C21-C20</f>
        <v>6222159.9999999851</v>
      </c>
      <c r="D22" s="30">
        <f t="shared" ref="D22:K22" si="8">D21-D20</f>
        <v>5664111.9999999851</v>
      </c>
      <c r="E22" s="30">
        <f t="shared" si="8"/>
        <v>5521736.3199999928</v>
      </c>
      <c r="F22" s="30">
        <f t="shared" si="8"/>
        <v>5824230.8992000073</v>
      </c>
      <c r="G22" s="30">
        <f t="shared" si="8"/>
        <v>4690523.1051520109</v>
      </c>
      <c r="H22" s="30">
        <f t="shared" si="8"/>
        <v>5859173.5041011423</v>
      </c>
      <c r="I22" s="30">
        <f t="shared" si="8"/>
        <v>7573169.712672025</v>
      </c>
      <c r="J22" s="30">
        <f t="shared" si="8"/>
        <v>10826971.037579849</v>
      </c>
      <c r="K22" s="30">
        <f t="shared" si="8"/>
        <v>13988284.659569532</v>
      </c>
    </row>
    <row r="23" spans="1:11" x14ac:dyDescent="0.35">
      <c r="A23" s="12"/>
      <c r="B23" s="12"/>
      <c r="C23" s="30"/>
      <c r="D23" s="30"/>
      <c r="E23" s="30"/>
      <c r="F23" s="30"/>
      <c r="G23" s="30"/>
      <c r="H23" s="30"/>
      <c r="I23" s="30"/>
      <c r="J23" s="30"/>
      <c r="K23" s="30"/>
    </row>
    <row r="24" spans="1:11" x14ac:dyDescent="0.35">
      <c r="A24" s="12"/>
      <c r="B24" s="12" t="s">
        <v>105</v>
      </c>
      <c r="C24" s="30"/>
      <c r="D24" s="30"/>
      <c r="E24" s="30"/>
      <c r="F24" s="30"/>
      <c r="G24" s="30"/>
      <c r="H24" s="30"/>
      <c r="I24" s="30"/>
      <c r="J24" s="30"/>
      <c r="K24" s="30"/>
    </row>
    <row r="25" spans="1:11" x14ac:dyDescent="0.35">
      <c r="A25" s="12"/>
      <c r="B25" s="12" t="s">
        <v>106</v>
      </c>
      <c r="C25" s="30">
        <f>SUM('Ann 13'!E9:E12)*100000</f>
        <v>214903.64999999994</v>
      </c>
      <c r="D25" s="30">
        <f>SUM('Ann 13'!E13:E16)*100000</f>
        <v>187781.09999999998</v>
      </c>
      <c r="E25" s="30">
        <f>SUM('Ann 13'!E17:E20)*100000</f>
        <v>154399.5</v>
      </c>
      <c r="F25" s="30">
        <f>SUM('Ann 13'!E21:E24)*100000</f>
        <v>121017.90000000004</v>
      </c>
      <c r="G25" s="30">
        <f>SUM('Ann 13'!E25:E28)*100000</f>
        <v>87636.300000000061</v>
      </c>
      <c r="H25" s="30">
        <f>SUM('Ann 13'!E29:E32)*100000</f>
        <v>54254.70000000007</v>
      </c>
      <c r="I25" s="30">
        <f>SUM('Ann 13'!E33:E36)*100000</f>
        <v>20873.100000000068</v>
      </c>
      <c r="J25" s="30">
        <v>0</v>
      </c>
      <c r="K25" s="30">
        <v>0</v>
      </c>
    </row>
    <row r="26" spans="1:11" x14ac:dyDescent="0.35">
      <c r="A26" s="12"/>
      <c r="B26" s="12" t="s">
        <v>185</v>
      </c>
      <c r="C26" s="30">
        <f>1500000*10%</f>
        <v>150000</v>
      </c>
      <c r="D26" s="30">
        <f t="shared" ref="D26:K26" si="9">1500000*10%</f>
        <v>150000</v>
      </c>
      <c r="E26" s="30">
        <f t="shared" si="9"/>
        <v>150000</v>
      </c>
      <c r="F26" s="30">
        <f t="shared" si="9"/>
        <v>150000</v>
      </c>
      <c r="G26" s="30">
        <f t="shared" si="9"/>
        <v>150000</v>
      </c>
      <c r="H26" s="30">
        <f t="shared" si="9"/>
        <v>150000</v>
      </c>
      <c r="I26" s="30">
        <f t="shared" si="9"/>
        <v>150000</v>
      </c>
      <c r="J26" s="30">
        <f t="shared" si="9"/>
        <v>150000</v>
      </c>
      <c r="K26" s="30">
        <f t="shared" si="9"/>
        <v>150000</v>
      </c>
    </row>
    <row r="27" spans="1:11" x14ac:dyDescent="0.35">
      <c r="A27" s="12"/>
      <c r="B27" s="41" t="s">
        <v>116</v>
      </c>
      <c r="C27" s="30">
        <f>SUM(C25:C26)</f>
        <v>364903.64999999991</v>
      </c>
      <c r="D27" s="30">
        <f t="shared" ref="D27:K27" si="10">SUM(D25:D26)</f>
        <v>337781.1</v>
      </c>
      <c r="E27" s="30">
        <f t="shared" si="10"/>
        <v>304399.5</v>
      </c>
      <c r="F27" s="30">
        <f t="shared" si="10"/>
        <v>271017.90000000002</v>
      </c>
      <c r="G27" s="30">
        <f t="shared" si="10"/>
        <v>237636.30000000005</v>
      </c>
      <c r="H27" s="30">
        <f t="shared" si="10"/>
        <v>204254.70000000007</v>
      </c>
      <c r="I27" s="30">
        <f t="shared" si="10"/>
        <v>170873.10000000006</v>
      </c>
      <c r="J27" s="30">
        <f t="shared" si="10"/>
        <v>150000</v>
      </c>
      <c r="K27" s="30">
        <f t="shared" si="10"/>
        <v>150000</v>
      </c>
    </row>
    <row r="28" spans="1:11" x14ac:dyDescent="0.35">
      <c r="A28" s="12"/>
      <c r="B28" s="12"/>
      <c r="C28" s="30"/>
      <c r="D28" s="30"/>
      <c r="E28" s="30"/>
      <c r="F28" s="30"/>
      <c r="G28" s="30"/>
      <c r="H28" s="30"/>
      <c r="I28" s="30"/>
      <c r="J28" s="30"/>
      <c r="K28" s="30"/>
    </row>
    <row r="29" spans="1:11" x14ac:dyDescent="0.35">
      <c r="A29" s="12"/>
      <c r="B29" s="12" t="s">
        <v>117</v>
      </c>
      <c r="C29" s="30">
        <f t="shared" ref="C29:K29" si="11">C22-C27</f>
        <v>5857256.3499999847</v>
      </c>
      <c r="D29" s="30">
        <f t="shared" si="11"/>
        <v>5326330.8999999855</v>
      </c>
      <c r="E29" s="30">
        <f t="shared" si="11"/>
        <v>5217336.8199999928</v>
      </c>
      <c r="F29" s="30">
        <f t="shared" si="11"/>
        <v>5553212.9992000069</v>
      </c>
      <c r="G29" s="30">
        <f t="shared" si="11"/>
        <v>4452886.8051520111</v>
      </c>
      <c r="H29" s="30">
        <f t="shared" si="11"/>
        <v>5654918.8041011421</v>
      </c>
      <c r="I29" s="30">
        <f t="shared" si="11"/>
        <v>7402296.6126720253</v>
      </c>
      <c r="J29" s="30">
        <f t="shared" si="11"/>
        <v>10676971.037579849</v>
      </c>
      <c r="K29" s="30">
        <f t="shared" si="11"/>
        <v>13838284.659569532</v>
      </c>
    </row>
    <row r="30" spans="1:11" x14ac:dyDescent="0.35">
      <c r="A30" s="12"/>
      <c r="B30" s="12" t="s">
        <v>224</v>
      </c>
      <c r="C30" s="30">
        <f>'Ann 1'!C35*100000</f>
        <v>0</v>
      </c>
      <c r="D30" s="30">
        <v>0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</row>
    <row r="31" spans="1:11" x14ac:dyDescent="0.35">
      <c r="A31" s="12"/>
      <c r="B31" s="41" t="s">
        <v>118</v>
      </c>
      <c r="C31" s="30">
        <f>'Ann 9'!C12+'Ann 9'!D12+'Ann 9'!E12</f>
        <v>590250</v>
      </c>
      <c r="D31" s="30">
        <f>'Ann 9'!C13+'Ann 9'!D13+'Ann 9'!E13</f>
        <v>505462.5</v>
      </c>
      <c r="E31" s="30">
        <f>'Ann 9'!C14+'Ann 9'!D14+'Ann 9'!E14</f>
        <v>433018.125</v>
      </c>
      <c r="F31" s="30">
        <f>'Ann 9'!C15+'Ann 9'!D15+'Ann 9'!E15</f>
        <v>371102.90625</v>
      </c>
      <c r="G31" s="30">
        <f>'Ann 9'!C16+'Ann 9'!D16+'Ann 9'!E16</f>
        <v>318171.22031249997</v>
      </c>
      <c r="H31" s="30">
        <f>'Ann 9'!C17+'Ann 9'!D17+'Ann 9'!E17</f>
        <v>272905.91226562497</v>
      </c>
      <c r="I31" s="30">
        <f>'Ann 9'!C18+'Ann 9'!D18+'Ann 9'!E18</f>
        <v>234184.36292578126</v>
      </c>
      <c r="J31" s="30">
        <f>'Ann 9'!C19+'Ann 9'!D19+'Ann 9'!E19</f>
        <v>201049.61223691405</v>
      </c>
      <c r="K31" s="30">
        <f>'Ann 9'!C20+'Ann 9'!D20+'Ann 9'!E20</f>
        <v>172685.78377637698</v>
      </c>
    </row>
    <row r="32" spans="1:11" x14ac:dyDescent="0.35">
      <c r="A32" s="12"/>
      <c r="B32" s="41" t="s">
        <v>119</v>
      </c>
      <c r="C32" s="30">
        <f>C29-C31-C30</f>
        <v>5267006.3499999847</v>
      </c>
      <c r="D32" s="30">
        <f t="shared" ref="D32:K32" si="12">D29-D31-D30</f>
        <v>4820868.3999999855</v>
      </c>
      <c r="E32" s="30">
        <f t="shared" si="12"/>
        <v>4784318.6949999928</v>
      </c>
      <c r="F32" s="30">
        <f t="shared" si="12"/>
        <v>5182110.0929500069</v>
      </c>
      <c r="G32" s="30">
        <f t="shared" si="12"/>
        <v>4134715.5848395112</v>
      </c>
      <c r="H32" s="30">
        <f t="shared" si="12"/>
        <v>5382012.8918355173</v>
      </c>
      <c r="I32" s="30">
        <f t="shared" si="12"/>
        <v>7168112.2497462444</v>
      </c>
      <c r="J32" s="30">
        <f t="shared" si="12"/>
        <v>10475921.425342936</v>
      </c>
      <c r="K32" s="30">
        <f t="shared" si="12"/>
        <v>13665598.875793155</v>
      </c>
    </row>
    <row r="33" spans="1:11" x14ac:dyDescent="0.35">
      <c r="A33" s="12"/>
      <c r="B33" s="41" t="s">
        <v>120</v>
      </c>
      <c r="C33" s="30">
        <f>'Ann 10'!B14</f>
        <v>1580101.9049999954</v>
      </c>
      <c r="D33" s="30">
        <f>'Ann 10'!C14</f>
        <v>1446260.5199999956</v>
      </c>
      <c r="E33" s="30">
        <f>'Ann 10'!D14</f>
        <v>1435295.6084999978</v>
      </c>
      <c r="F33" s="30">
        <f>'Ann 10'!E14</f>
        <v>1554633.0278850021</v>
      </c>
      <c r="G33" s="30">
        <f>'Ann 10'!F14</f>
        <v>1240414.6754518533</v>
      </c>
      <c r="H33" s="30">
        <f>'Ann 10'!G14</f>
        <v>1614603.867550655</v>
      </c>
      <c r="I33" s="30">
        <f>'Ann 10'!H14</f>
        <v>2150433.674923873</v>
      </c>
      <c r="J33" s="30">
        <f>'Ann 10'!I14</f>
        <v>3142776.4276028806</v>
      </c>
      <c r="K33" s="30">
        <f>'Ann 10'!J14</f>
        <v>4099679.6627379465</v>
      </c>
    </row>
    <row r="34" spans="1:11" x14ac:dyDescent="0.35">
      <c r="A34" s="12"/>
      <c r="B34" s="41" t="s">
        <v>121</v>
      </c>
      <c r="C34" s="30">
        <f>C32-C33</f>
        <v>3686904.4449999891</v>
      </c>
      <c r="D34" s="30">
        <f>D32-D33</f>
        <v>3374607.8799999896</v>
      </c>
      <c r="E34" s="30">
        <f t="shared" ref="E34:K34" si="13">E32-E33</f>
        <v>3349023.0864999951</v>
      </c>
      <c r="F34" s="30">
        <f t="shared" si="13"/>
        <v>3627477.0650650049</v>
      </c>
      <c r="G34" s="30">
        <f t="shared" si="13"/>
        <v>2894300.9093876579</v>
      </c>
      <c r="H34" s="30">
        <f t="shared" si="13"/>
        <v>3767409.024284862</v>
      </c>
      <c r="I34" s="30">
        <f t="shared" si="13"/>
        <v>5017678.5748223718</v>
      </c>
      <c r="J34" s="30">
        <f t="shared" si="13"/>
        <v>7333144.9977400554</v>
      </c>
      <c r="K34" s="30">
        <f t="shared" si="13"/>
        <v>9565919.2130552083</v>
      </c>
    </row>
    <row r="35" spans="1:11" x14ac:dyDescent="0.35">
      <c r="A35" s="12"/>
      <c r="B35" s="41" t="s">
        <v>122</v>
      </c>
      <c r="C35" s="30">
        <f>C34*80%</f>
        <v>2949523.5559999915</v>
      </c>
      <c r="D35" s="30">
        <f t="shared" ref="D35:K35" si="14">D34*80%</f>
        <v>2699686.3039999921</v>
      </c>
      <c r="E35" s="30">
        <f t="shared" si="14"/>
        <v>2679218.4691999964</v>
      </c>
      <c r="F35" s="30">
        <f t="shared" si="14"/>
        <v>2901981.6520520039</v>
      </c>
      <c r="G35" s="30">
        <f t="shared" si="14"/>
        <v>2315440.7275101263</v>
      </c>
      <c r="H35" s="30">
        <f t="shared" si="14"/>
        <v>3013927.2194278897</v>
      </c>
      <c r="I35" s="30">
        <f t="shared" si="14"/>
        <v>4014142.8598578977</v>
      </c>
      <c r="J35" s="30">
        <f t="shared" si="14"/>
        <v>5866515.9981920449</v>
      </c>
      <c r="K35" s="30">
        <f t="shared" si="14"/>
        <v>7652735.3704441674</v>
      </c>
    </row>
    <row r="36" spans="1:11" x14ac:dyDescent="0.35">
      <c r="A36" s="12"/>
      <c r="B36" s="41" t="s">
        <v>132</v>
      </c>
      <c r="C36" s="30">
        <f>C34-C35</f>
        <v>737380.88899999764</v>
      </c>
      <c r="D36" s="30">
        <f t="shared" ref="D36:K36" si="15">D34-D35</f>
        <v>674921.57599999756</v>
      </c>
      <c r="E36" s="30">
        <f t="shared" si="15"/>
        <v>669804.61729999864</v>
      </c>
      <c r="F36" s="30">
        <f t="shared" si="15"/>
        <v>725495.41301300097</v>
      </c>
      <c r="G36" s="30">
        <f t="shared" si="15"/>
        <v>578860.18187753158</v>
      </c>
      <c r="H36" s="30">
        <f t="shared" si="15"/>
        <v>753481.8048569723</v>
      </c>
      <c r="I36" s="30">
        <f t="shared" si="15"/>
        <v>1003535.7149644741</v>
      </c>
      <c r="J36" s="30">
        <f t="shared" si="15"/>
        <v>1466628.9995480105</v>
      </c>
      <c r="K36" s="30">
        <f t="shared" si="15"/>
        <v>1913183.8426110409</v>
      </c>
    </row>
    <row r="38" spans="1:11" x14ac:dyDescent="0.35">
      <c r="A38" t="s">
        <v>210</v>
      </c>
    </row>
    <row r="39" spans="1:11" x14ac:dyDescent="0.35">
      <c r="A39" t="s">
        <v>213</v>
      </c>
    </row>
    <row r="40" spans="1:11" x14ac:dyDescent="0.35">
      <c r="A40" t="s">
        <v>252</v>
      </c>
    </row>
    <row r="41" spans="1:11" x14ac:dyDescent="0.35">
      <c r="A41" t="s">
        <v>214</v>
      </c>
    </row>
    <row r="42" spans="1:11" x14ac:dyDescent="0.35">
      <c r="B42" t="s">
        <v>212</v>
      </c>
      <c r="C42">
        <v>80000</v>
      </c>
      <c r="D42">
        <f>C42*1.05</f>
        <v>84000</v>
      </c>
      <c r="E42">
        <f t="shared" ref="E42:K42" si="16">D42*1.05</f>
        <v>88200</v>
      </c>
      <c r="F42">
        <f t="shared" si="16"/>
        <v>92610</v>
      </c>
      <c r="G42">
        <f t="shared" si="16"/>
        <v>97240.5</v>
      </c>
      <c r="H42">
        <f t="shared" si="16"/>
        <v>102102.52500000001</v>
      </c>
      <c r="I42">
        <f t="shared" si="16"/>
        <v>107207.65125000001</v>
      </c>
      <c r="J42">
        <f t="shared" si="16"/>
        <v>112568.03381250001</v>
      </c>
      <c r="K42">
        <f t="shared" si="16"/>
        <v>118196.43550312502</v>
      </c>
    </row>
    <row r="43" spans="1:11" x14ac:dyDescent="0.35">
      <c r="B43" t="s">
        <v>74</v>
      </c>
      <c r="C43">
        <f>C42*12</f>
        <v>960000</v>
      </c>
      <c r="D43">
        <f t="shared" ref="D43:K43" si="17">D42*12</f>
        <v>1008000</v>
      </c>
      <c r="E43">
        <f t="shared" si="17"/>
        <v>1058400</v>
      </c>
      <c r="F43">
        <f t="shared" si="17"/>
        <v>1111320</v>
      </c>
      <c r="G43">
        <f t="shared" si="17"/>
        <v>1166886</v>
      </c>
      <c r="H43">
        <f t="shared" si="17"/>
        <v>1225230.3</v>
      </c>
      <c r="I43">
        <f t="shared" si="17"/>
        <v>1286491.8150000002</v>
      </c>
      <c r="J43">
        <f t="shared" si="17"/>
        <v>1350816.4057500002</v>
      </c>
      <c r="K43">
        <f t="shared" si="17"/>
        <v>1418357.2260375002</v>
      </c>
    </row>
    <row r="44" spans="1:11" x14ac:dyDescent="0.35">
      <c r="A44" t="s">
        <v>262</v>
      </c>
    </row>
  </sheetData>
  <mergeCells count="1">
    <mergeCell ref="C3:K3"/>
  </mergeCells>
  <pageMargins left="0.7" right="0.7" top="0.75" bottom="0.75" header="0.3" footer="0.3"/>
  <pageSetup scale="59" orientation="landscape" r:id="rId1"/>
  <ignoredErrors>
    <ignoredError sqref="D25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4C10C-E414-4E29-98C1-5FAEC5C52CAE}">
  <sheetPr>
    <pageSetUpPr fitToPage="1"/>
  </sheetPr>
  <dimension ref="A1:M55"/>
  <sheetViews>
    <sheetView topLeftCell="A31" workbookViewId="0"/>
  </sheetViews>
  <sheetFormatPr defaultRowHeight="14.5" x14ac:dyDescent="0.35"/>
  <cols>
    <col min="2" max="2" width="28.26953125" customWidth="1"/>
    <col min="3" max="3" width="15.6328125" bestFit="1" customWidth="1"/>
    <col min="4" max="10" width="13.7265625" bestFit="1" customWidth="1"/>
    <col min="11" max="11" width="13.6328125" bestFit="1" customWidth="1"/>
    <col min="12" max="12" width="10" bestFit="1" customWidth="1"/>
  </cols>
  <sheetData>
    <row r="1" spans="1:11" x14ac:dyDescent="0.35">
      <c r="A1" s="22" t="s">
        <v>133</v>
      </c>
    </row>
    <row r="3" spans="1:11" x14ac:dyDescent="0.35">
      <c r="A3" t="s">
        <v>134</v>
      </c>
    </row>
    <row r="5" spans="1:11" x14ac:dyDescent="0.35">
      <c r="A5" s="92" t="s">
        <v>37</v>
      </c>
      <c r="B5" s="92" t="s">
        <v>38</v>
      </c>
      <c r="C5" s="92" t="s">
        <v>48</v>
      </c>
      <c r="D5" s="92"/>
      <c r="E5" s="92"/>
      <c r="F5" s="92"/>
      <c r="G5" s="92"/>
      <c r="H5" s="92"/>
      <c r="I5" s="92"/>
      <c r="J5" s="92"/>
      <c r="K5" s="92"/>
    </row>
    <row r="6" spans="1:11" x14ac:dyDescent="0.35">
      <c r="A6" s="92"/>
      <c r="B6" s="92"/>
      <c r="C6" s="34" t="s">
        <v>39</v>
      </c>
      <c r="D6" s="34" t="s">
        <v>40</v>
      </c>
      <c r="E6" s="34" t="s">
        <v>41</v>
      </c>
      <c r="F6" s="34" t="s">
        <v>42</v>
      </c>
      <c r="G6" s="34" t="s">
        <v>43</v>
      </c>
      <c r="H6" s="34" t="s">
        <v>44</v>
      </c>
      <c r="I6" s="34" t="s">
        <v>45</v>
      </c>
      <c r="J6" s="34" t="s">
        <v>46</v>
      </c>
      <c r="K6" s="34" t="s">
        <v>47</v>
      </c>
    </row>
    <row r="7" spans="1:11" x14ac:dyDescent="0.35">
      <c r="A7" s="43" t="s">
        <v>168</v>
      </c>
      <c r="B7" s="44" t="s">
        <v>135</v>
      </c>
      <c r="C7" s="55"/>
      <c r="D7" s="55"/>
      <c r="E7" s="46"/>
      <c r="F7" s="46"/>
      <c r="G7" s="46"/>
      <c r="H7" s="46"/>
      <c r="I7" s="46"/>
      <c r="J7" s="46"/>
      <c r="K7" s="46"/>
    </row>
    <row r="8" spans="1:11" x14ac:dyDescent="0.35">
      <c r="A8" s="14">
        <v>1</v>
      </c>
      <c r="B8" s="5" t="s">
        <v>136</v>
      </c>
      <c r="C8" s="9"/>
      <c r="D8" s="9"/>
      <c r="E8" s="6"/>
      <c r="F8" s="6"/>
      <c r="G8" s="6"/>
      <c r="H8" s="6"/>
      <c r="I8" s="6"/>
      <c r="J8" s="6"/>
      <c r="K8" s="6"/>
    </row>
    <row r="9" spans="1:11" x14ac:dyDescent="0.35">
      <c r="A9" s="14"/>
      <c r="B9" s="5" t="s">
        <v>137</v>
      </c>
      <c r="C9" s="56">
        <f>'Ann 9'!C6+'Ann 9'!D6+'Ann 9'!E6</f>
        <v>4185000</v>
      </c>
      <c r="D9" s="58">
        <f>C11</f>
        <v>3594750</v>
      </c>
      <c r="E9" s="27">
        <f t="shared" ref="E9:K9" si="0">D11</f>
        <v>3089287.5</v>
      </c>
      <c r="F9" s="27">
        <f t="shared" si="0"/>
        <v>2656269.375</v>
      </c>
      <c r="G9" s="27">
        <f t="shared" si="0"/>
        <v>2285166.46875</v>
      </c>
      <c r="H9" s="27">
        <f t="shared" si="0"/>
        <v>1966995.2484375001</v>
      </c>
      <c r="I9" s="27">
        <f t="shared" si="0"/>
        <v>1694089.3361718752</v>
      </c>
      <c r="J9" s="27">
        <f t="shared" si="0"/>
        <v>1459904.9732460941</v>
      </c>
      <c r="K9" s="27">
        <f t="shared" si="0"/>
        <v>1258855.3610091801</v>
      </c>
    </row>
    <row r="10" spans="1:11" x14ac:dyDescent="0.35">
      <c r="A10" s="14"/>
      <c r="B10" s="5" t="s">
        <v>138</v>
      </c>
      <c r="C10" s="56">
        <f>'Ann 9'!C12+'Ann 9'!D12+'Ann 9'!E12</f>
        <v>590250</v>
      </c>
      <c r="D10" s="58">
        <f>'Ann 9'!C13+'Ann 9'!D13+'Ann 9'!E13</f>
        <v>505462.5</v>
      </c>
      <c r="E10" s="27">
        <f>'Ann 9'!C14+'Ann 9'!D14+'Ann 9'!E14</f>
        <v>433018.125</v>
      </c>
      <c r="F10" s="27">
        <f>'Ann 9'!C15+'Ann 9'!D15+'Ann 9'!E15</f>
        <v>371102.90625</v>
      </c>
      <c r="G10" s="27">
        <f>'Ann 9'!C16+'Ann 9'!D16+'Ann 9'!E16</f>
        <v>318171.22031249997</v>
      </c>
      <c r="H10" s="27">
        <f>'Ann 9'!C17+'Ann 9'!D17+'Ann 9'!E17</f>
        <v>272905.91226562497</v>
      </c>
      <c r="I10" s="27">
        <f>+'Ann 9'!C18+'Ann 9'!D18+'Ann 9'!E18</f>
        <v>234184.36292578126</v>
      </c>
      <c r="J10" s="27">
        <f>'Ann 9'!C19+'Ann 9'!D19+'Ann 9'!E19</f>
        <v>201049.61223691405</v>
      </c>
      <c r="K10" s="27">
        <f>+'Ann 9'!C20+'Ann 9'!D20+'Ann 9'!E20</f>
        <v>172685.78377637698</v>
      </c>
    </row>
    <row r="11" spans="1:11" x14ac:dyDescent="0.35">
      <c r="A11" s="14"/>
      <c r="B11" s="5" t="s">
        <v>139</v>
      </c>
      <c r="C11" s="56">
        <f>C9-C10</f>
        <v>3594750</v>
      </c>
      <c r="D11" s="58">
        <f>D9-D10</f>
        <v>3089287.5</v>
      </c>
      <c r="E11" s="27">
        <f t="shared" ref="E11:K11" si="1">E9-E10</f>
        <v>2656269.375</v>
      </c>
      <c r="F11" s="27">
        <f t="shared" si="1"/>
        <v>2285166.46875</v>
      </c>
      <c r="G11" s="27">
        <f t="shared" si="1"/>
        <v>1966995.2484375001</v>
      </c>
      <c r="H11" s="27">
        <f t="shared" si="1"/>
        <v>1694089.3361718752</v>
      </c>
      <c r="I11" s="27">
        <f t="shared" si="1"/>
        <v>1459904.9732460941</v>
      </c>
      <c r="J11" s="27">
        <f t="shared" si="1"/>
        <v>1258855.3610091801</v>
      </c>
      <c r="K11" s="27">
        <f t="shared" si="1"/>
        <v>1086169.5772328032</v>
      </c>
    </row>
    <row r="12" spans="1:11" x14ac:dyDescent="0.35">
      <c r="A12" s="14">
        <v>2</v>
      </c>
      <c r="B12" s="59" t="s">
        <v>205</v>
      </c>
      <c r="C12" s="56">
        <f>'Ann 4'!C12</f>
        <v>673920</v>
      </c>
      <c r="D12" s="56">
        <f>'Ann 4'!D12</f>
        <v>1404000</v>
      </c>
      <c r="E12" s="56">
        <f>'Ann 4'!E12</f>
        <v>2190240</v>
      </c>
      <c r="F12" s="56">
        <f>'Ann 4'!F12</f>
        <v>3032640</v>
      </c>
      <c r="G12" s="56">
        <f>'Ann 4'!G12</f>
        <v>2134080</v>
      </c>
      <c r="H12" s="56">
        <f>'Ann 4'!H12</f>
        <v>1179360</v>
      </c>
      <c r="I12" s="56">
        <f>'Ann 4'!I12</f>
        <v>168480</v>
      </c>
      <c r="J12" s="56">
        <f>'Ann 4'!J12</f>
        <v>0</v>
      </c>
      <c r="K12" s="56">
        <f>'Ann 4'!K12</f>
        <v>0</v>
      </c>
    </row>
    <row r="13" spans="1:11" x14ac:dyDescent="0.35">
      <c r="A13" s="14">
        <v>3</v>
      </c>
      <c r="B13" s="5" t="s">
        <v>140</v>
      </c>
      <c r="C13" s="56">
        <f>'Ann 4'!C21*30/360</f>
        <v>7200000</v>
      </c>
      <c r="D13" s="56">
        <f>'Ann 4'!D21*30/360</f>
        <v>7704000</v>
      </c>
      <c r="E13" s="56">
        <f>'Ann 4'!E21*30/360</f>
        <v>8243280</v>
      </c>
      <c r="F13" s="56">
        <f>'Ann 4'!F21*30/360</f>
        <v>8820309.5999999996</v>
      </c>
      <c r="G13" s="56">
        <f>'Ann 4'!G21*30/360</f>
        <v>9437731.2720000017</v>
      </c>
      <c r="H13" s="56">
        <f>'Ann 4'!H21*30/360</f>
        <v>10098372.461040001</v>
      </c>
      <c r="I13" s="56">
        <f>'Ann 4'!I21*30/360</f>
        <v>10805258.533312803</v>
      </c>
      <c r="J13" s="56">
        <f>'Ann 4'!J21*30/360</f>
        <v>11561626.6306447</v>
      </c>
      <c r="K13" s="56">
        <f>'Ann 4'!K21*30/360</f>
        <v>12370940.494789828</v>
      </c>
    </row>
    <row r="14" spans="1:11" x14ac:dyDescent="0.35">
      <c r="A14" s="14">
        <v>4</v>
      </c>
      <c r="B14" s="5" t="s">
        <v>141</v>
      </c>
      <c r="C14" s="57">
        <f>'Cash flows'!B19</f>
        <v>9121610.8889999986</v>
      </c>
      <c r="D14" s="57">
        <f>'Cash flows'!C19</f>
        <v>9715394.9649999961</v>
      </c>
      <c r="E14" s="57">
        <f>'Cash flows'!D19</f>
        <v>10140177.707300002</v>
      </c>
      <c r="F14" s="57">
        <f>'Cash flows'!E19</f>
        <v>10464826.426563013</v>
      </c>
      <c r="G14" s="57">
        <f>'Cash flows'!F19</f>
        <v>12290476.156753035</v>
      </c>
      <c r="H14" s="57">
        <f>'Cash flows'!G19</f>
        <v>14258422.684835626</v>
      </c>
      <c r="I14" s="57">
        <f>'Cash flows'!H19</f>
        <v>16447456.690453084</v>
      </c>
      <c r="J14" s="57">
        <f>'Cash flows'!I19</f>
        <v>18731087.204906125</v>
      </c>
      <c r="K14" s="57">
        <f>'Cash flows'!J19</f>
        <v>21211482.967148423</v>
      </c>
    </row>
    <row r="15" spans="1:11" x14ac:dyDescent="0.35">
      <c r="A15" s="14"/>
      <c r="B15" s="5" t="s">
        <v>149</v>
      </c>
      <c r="C15" s="56">
        <f t="shared" ref="C15:K15" si="2">SUM(C11:C14)</f>
        <v>20590280.888999999</v>
      </c>
      <c r="D15" s="56">
        <f t="shared" si="2"/>
        <v>21912682.464999996</v>
      </c>
      <c r="E15" s="47">
        <f t="shared" si="2"/>
        <v>23229967.0823</v>
      </c>
      <c r="F15" s="47">
        <f t="shared" si="2"/>
        <v>24602942.495313011</v>
      </c>
      <c r="G15" s="47">
        <f t="shared" si="2"/>
        <v>25829282.677190535</v>
      </c>
      <c r="H15" s="47">
        <f t="shared" si="2"/>
        <v>27230244.482047502</v>
      </c>
      <c r="I15" s="47">
        <f t="shared" si="2"/>
        <v>28881100.197011981</v>
      </c>
      <c r="J15" s="47">
        <f t="shared" si="2"/>
        <v>31551569.196560003</v>
      </c>
      <c r="K15" s="47">
        <f t="shared" si="2"/>
        <v>34668593.039171055</v>
      </c>
    </row>
    <row r="16" spans="1:11" x14ac:dyDescent="0.35">
      <c r="A16" s="14"/>
      <c r="B16" s="5"/>
      <c r="C16" s="56"/>
      <c r="D16" s="56"/>
      <c r="E16" s="47"/>
      <c r="F16" s="47"/>
      <c r="G16" s="47"/>
      <c r="H16" s="47"/>
      <c r="I16" s="47"/>
      <c r="J16" s="47"/>
      <c r="K16" s="47"/>
    </row>
    <row r="17" spans="1:13" x14ac:dyDescent="0.35">
      <c r="A17" s="14" t="s">
        <v>169</v>
      </c>
      <c r="B17" s="48" t="s">
        <v>142</v>
      </c>
      <c r="C17" s="9"/>
      <c r="D17" s="9"/>
      <c r="E17" s="6"/>
      <c r="F17" s="6"/>
      <c r="G17" s="6"/>
      <c r="H17" s="6"/>
      <c r="I17" s="6"/>
      <c r="J17" s="6"/>
      <c r="K17" s="6"/>
    </row>
    <row r="18" spans="1:13" x14ac:dyDescent="0.35">
      <c r="A18" s="14">
        <v>1</v>
      </c>
      <c r="B18" s="5" t="s">
        <v>143</v>
      </c>
      <c r="C18" s="57">
        <f>'Ann 2'!C4*100000</f>
        <v>568500</v>
      </c>
      <c r="D18" s="57">
        <f>C21</f>
        <v>1305880.8889999976</v>
      </c>
      <c r="E18" s="18">
        <f t="shared" ref="E18:K18" si="3">D21</f>
        <v>1980802.4649999952</v>
      </c>
      <c r="F18" s="18">
        <f t="shared" si="3"/>
        <v>2650607.0822999938</v>
      </c>
      <c r="G18" s="18">
        <f t="shared" si="3"/>
        <v>3376102.4953129948</v>
      </c>
      <c r="H18" s="18">
        <f t="shared" si="3"/>
        <v>3954962.6771905264</v>
      </c>
      <c r="I18" s="18">
        <f t="shared" si="3"/>
        <v>4708444.4820474982</v>
      </c>
      <c r="J18" s="18">
        <f t="shared" si="3"/>
        <v>5711980.1970119718</v>
      </c>
      <c r="K18" s="18">
        <f t="shared" si="3"/>
        <v>7178609.1965599824</v>
      </c>
    </row>
    <row r="19" spans="1:13" x14ac:dyDescent="0.35">
      <c r="A19" s="14"/>
      <c r="B19" s="5" t="s">
        <v>144</v>
      </c>
      <c r="C19" s="57">
        <f>'Ann 4'!C36</f>
        <v>737380.88899999764</v>
      </c>
      <c r="D19" s="57">
        <f>'Ann 4'!D36</f>
        <v>674921.57599999756</v>
      </c>
      <c r="E19" s="18">
        <f>'Ann 4'!E36</f>
        <v>669804.61729999864</v>
      </c>
      <c r="F19" s="18">
        <f>'Ann 4'!F36</f>
        <v>725495.41301300097</v>
      </c>
      <c r="G19" s="18">
        <f>'Ann 4'!G36</f>
        <v>578860.18187753158</v>
      </c>
      <c r="H19" s="18">
        <f>'Ann 4'!H36</f>
        <v>753481.8048569723</v>
      </c>
      <c r="I19" s="18">
        <f>'Ann 4'!I36</f>
        <v>1003535.7149644741</v>
      </c>
      <c r="J19" s="18">
        <f>'Ann 4'!J36</f>
        <v>1466628.9995480105</v>
      </c>
      <c r="K19" s="18">
        <f>'Ann 4'!K36</f>
        <v>1913183.8426110409</v>
      </c>
    </row>
    <row r="20" spans="1:13" x14ac:dyDescent="0.35">
      <c r="A20" s="14"/>
      <c r="B20" s="5" t="s">
        <v>145</v>
      </c>
      <c r="C20" s="57">
        <v>0</v>
      </c>
      <c r="D20" s="57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</row>
    <row r="21" spans="1:13" x14ac:dyDescent="0.35">
      <c r="A21" s="14"/>
      <c r="B21" s="5" t="s">
        <v>146</v>
      </c>
      <c r="C21" s="57">
        <f>C18+C19</f>
        <v>1305880.8889999976</v>
      </c>
      <c r="D21" s="57">
        <f t="shared" ref="D21:K21" si="4">D18+D19</f>
        <v>1980802.4649999952</v>
      </c>
      <c r="E21" s="18">
        <f t="shared" si="4"/>
        <v>2650607.0822999938</v>
      </c>
      <c r="F21" s="18">
        <f t="shared" si="4"/>
        <v>3376102.4953129948</v>
      </c>
      <c r="G21" s="18">
        <f t="shared" si="4"/>
        <v>3954962.6771905264</v>
      </c>
      <c r="H21" s="18">
        <f t="shared" si="4"/>
        <v>4708444.4820474982</v>
      </c>
      <c r="I21" s="18">
        <f t="shared" si="4"/>
        <v>5711980.1970119718</v>
      </c>
      <c r="J21" s="18">
        <f t="shared" si="4"/>
        <v>7178609.1965599824</v>
      </c>
      <c r="K21" s="18">
        <f t="shared" si="4"/>
        <v>9091793.0391710233</v>
      </c>
    </row>
    <row r="22" spans="1:13" x14ac:dyDescent="0.35">
      <c r="A22" s="14">
        <v>2</v>
      </c>
      <c r="B22" s="5" t="s">
        <v>147</v>
      </c>
      <c r="C22" s="57">
        <f>'Ann 13'!C13*100000</f>
        <v>3338319.9999999995</v>
      </c>
      <c r="D22" s="57">
        <f>'Ann 13'!C17*100000</f>
        <v>2781960</v>
      </c>
      <c r="E22" s="57">
        <f>'Ann 13'!C21*100000</f>
        <v>2225600.0000000009</v>
      </c>
      <c r="F22" s="57">
        <f>'Ann 13'!C25*100000</f>
        <v>1669240.0000000014</v>
      </c>
      <c r="G22" s="18">
        <f>('Ann 13'!C28-'Ann 13'!D28)*100000</f>
        <v>1112880.0000000012</v>
      </c>
      <c r="H22" s="18">
        <f>('Ann 13'!C32-'Ann 13'!D32)*100000</f>
        <v>556520.00000000116</v>
      </c>
      <c r="I22" s="18">
        <v>0</v>
      </c>
      <c r="J22" s="18">
        <v>0</v>
      </c>
      <c r="K22" s="18">
        <v>0</v>
      </c>
    </row>
    <row r="23" spans="1:13" x14ac:dyDescent="0.35">
      <c r="A23" s="14">
        <v>3</v>
      </c>
      <c r="B23" s="59" t="s">
        <v>184</v>
      </c>
      <c r="C23" s="57">
        <v>1500000</v>
      </c>
      <c r="D23" s="57">
        <v>1500000</v>
      </c>
      <c r="E23" s="57">
        <v>1500000</v>
      </c>
      <c r="F23" s="57">
        <v>1500000</v>
      </c>
      <c r="G23" s="57">
        <v>1500000</v>
      </c>
      <c r="H23" s="57">
        <v>1500000</v>
      </c>
      <c r="I23" s="57">
        <v>1500000</v>
      </c>
      <c r="J23" s="57">
        <v>1500000</v>
      </c>
      <c r="K23" s="57">
        <v>1500000</v>
      </c>
    </row>
    <row r="24" spans="1:13" x14ac:dyDescent="0.35">
      <c r="A24" s="14">
        <v>4</v>
      </c>
      <c r="B24" s="59" t="s">
        <v>178</v>
      </c>
      <c r="C24" s="57">
        <f>'Ann 4'!C7*60/300</f>
        <v>14446080.000000004</v>
      </c>
      <c r="D24" s="57">
        <f>'Ann 4'!D7*60/300</f>
        <v>15649920.000000004</v>
      </c>
      <c r="E24" s="57">
        <f>'Ann 4'!E7*60/300</f>
        <v>16853760</v>
      </c>
      <c r="F24" s="57">
        <f>'Ann 4'!F7*60/300</f>
        <v>18057600</v>
      </c>
      <c r="G24" s="57">
        <f>'Ann 4'!G7*60/300</f>
        <v>19261440</v>
      </c>
      <c r="H24" s="57">
        <f>'Ann 4'!H7*60/300</f>
        <v>20465280</v>
      </c>
      <c r="I24" s="57">
        <f>'Ann 4'!I7*60/300</f>
        <v>21669120</v>
      </c>
      <c r="J24" s="57">
        <f>'Ann 4'!J7*60/300</f>
        <v>22872960.000000004</v>
      </c>
      <c r="K24" s="57">
        <f>'Ann 4'!K7*60/300</f>
        <v>24076800.000000004</v>
      </c>
    </row>
    <row r="25" spans="1:13" x14ac:dyDescent="0.35">
      <c r="A25" s="14"/>
      <c r="B25" s="5" t="s">
        <v>148</v>
      </c>
      <c r="C25" s="56">
        <f t="shared" ref="C25:K25" si="5">SUM(C21:C24)</f>
        <v>20590280.888999999</v>
      </c>
      <c r="D25" s="56">
        <f t="shared" si="5"/>
        <v>21912682.465</v>
      </c>
      <c r="E25" s="56">
        <f t="shared" si="5"/>
        <v>23229967.082299992</v>
      </c>
      <c r="F25" s="56">
        <f t="shared" si="5"/>
        <v>24602942.495312996</v>
      </c>
      <c r="G25" s="56">
        <f t="shared" si="5"/>
        <v>25829282.677190527</v>
      </c>
      <c r="H25" s="56">
        <f t="shared" si="5"/>
        <v>27230244.482047498</v>
      </c>
      <c r="I25" s="56">
        <f t="shared" si="5"/>
        <v>28881100.19701197</v>
      </c>
      <c r="J25" s="56">
        <f t="shared" si="5"/>
        <v>31551569.196559988</v>
      </c>
      <c r="K25" s="56">
        <f t="shared" si="5"/>
        <v>34668593.039171025</v>
      </c>
    </row>
    <row r="26" spans="1:13" x14ac:dyDescent="0.35">
      <c r="A26" s="14"/>
      <c r="B26" s="5"/>
      <c r="C26" s="56"/>
      <c r="D26" s="56"/>
      <c r="E26" s="56"/>
      <c r="F26" s="56"/>
      <c r="G26" s="56"/>
      <c r="H26" s="56"/>
      <c r="I26" s="56"/>
      <c r="J26" s="56"/>
      <c r="K26" s="56"/>
      <c r="L26" s="67"/>
      <c r="M26" s="5"/>
    </row>
    <row r="27" spans="1:13" x14ac:dyDescent="0.35">
      <c r="A27" s="60"/>
      <c r="B27" s="61" t="s">
        <v>150</v>
      </c>
      <c r="C27" s="62"/>
      <c r="D27" s="62"/>
      <c r="E27" s="63"/>
      <c r="F27" s="63"/>
      <c r="G27" s="63"/>
      <c r="H27" s="63"/>
      <c r="I27" s="63"/>
      <c r="J27" s="63"/>
      <c r="K27" s="63"/>
    </row>
    <row r="28" spans="1:13" x14ac:dyDescent="0.35">
      <c r="A28" s="14"/>
      <c r="B28" s="5" t="s">
        <v>151</v>
      </c>
      <c r="C28" s="56">
        <f t="shared" ref="C28:K28" si="6">SUM(C13:C14)</f>
        <v>16321610.888999999</v>
      </c>
      <c r="D28" s="56">
        <f t="shared" si="6"/>
        <v>17419394.964999996</v>
      </c>
      <c r="E28" s="47">
        <f t="shared" si="6"/>
        <v>18383457.7073</v>
      </c>
      <c r="F28" s="47">
        <f t="shared" si="6"/>
        <v>19285136.026563011</v>
      </c>
      <c r="G28" s="47">
        <f t="shared" si="6"/>
        <v>21728207.428753037</v>
      </c>
      <c r="H28" s="47">
        <f t="shared" si="6"/>
        <v>24356795.145875625</v>
      </c>
      <c r="I28" s="47">
        <f t="shared" si="6"/>
        <v>27252715.223765887</v>
      </c>
      <c r="J28" s="47">
        <f t="shared" si="6"/>
        <v>30292713.835550822</v>
      </c>
      <c r="K28" s="47">
        <f t="shared" si="6"/>
        <v>33582423.461938247</v>
      </c>
    </row>
    <row r="29" spans="1:13" x14ac:dyDescent="0.35">
      <c r="A29" s="14"/>
      <c r="B29" s="5" t="s">
        <v>152</v>
      </c>
      <c r="C29" s="56">
        <f>C24</f>
        <v>14446080.000000004</v>
      </c>
      <c r="D29" s="56">
        <f t="shared" ref="D29:K29" si="7">D24</f>
        <v>15649920.000000004</v>
      </c>
      <c r="E29" s="56">
        <f t="shared" si="7"/>
        <v>16853760</v>
      </c>
      <c r="F29" s="56">
        <f t="shared" si="7"/>
        <v>18057600</v>
      </c>
      <c r="G29" s="56">
        <f t="shared" si="7"/>
        <v>19261440</v>
      </c>
      <c r="H29" s="56">
        <f t="shared" si="7"/>
        <v>20465280</v>
      </c>
      <c r="I29" s="56">
        <f t="shared" si="7"/>
        <v>21669120</v>
      </c>
      <c r="J29" s="56">
        <f t="shared" si="7"/>
        <v>22872960.000000004</v>
      </c>
      <c r="K29" s="56">
        <f t="shared" si="7"/>
        <v>24076800.000000004</v>
      </c>
    </row>
    <row r="30" spans="1:13" x14ac:dyDescent="0.35">
      <c r="A30" s="14"/>
      <c r="B30" s="5" t="s">
        <v>157</v>
      </c>
      <c r="C30" s="9">
        <f>C28/C29</f>
        <v>1.1298297454395929</v>
      </c>
      <c r="D30" s="9">
        <f>D28/D29</f>
        <v>1.1130660709447711</v>
      </c>
      <c r="E30" s="6">
        <f t="shared" ref="E30:K30" si="8">E28/E29</f>
        <v>1.0907629933795189</v>
      </c>
      <c r="F30" s="6">
        <f t="shared" si="8"/>
        <v>1.0679789133972959</v>
      </c>
      <c r="G30" s="6">
        <f t="shared" si="8"/>
        <v>1.1280676537555363</v>
      </c>
      <c r="H30" s="6">
        <f t="shared" si="8"/>
        <v>1.1901520597751716</v>
      </c>
      <c r="I30" s="6">
        <f t="shared" si="8"/>
        <v>1.2576752181798747</v>
      </c>
      <c r="J30" s="6">
        <f t="shared" si="8"/>
        <v>1.3243897525965513</v>
      </c>
      <c r="K30" s="6">
        <f t="shared" si="8"/>
        <v>1.3948042705815658</v>
      </c>
    </row>
    <row r="31" spans="1:13" x14ac:dyDescent="0.35">
      <c r="A31" s="14"/>
      <c r="B31" s="59" t="s">
        <v>171</v>
      </c>
      <c r="C31" s="9"/>
      <c r="D31" s="9"/>
      <c r="E31" s="6"/>
      <c r="F31" s="6">
        <f>AVERAGE(C30:K30)</f>
        <v>1.1885251864499868</v>
      </c>
      <c r="G31" s="6"/>
      <c r="H31" s="6"/>
      <c r="I31" s="6"/>
      <c r="J31" s="6"/>
      <c r="K31" s="6"/>
    </row>
    <row r="32" spans="1:13" x14ac:dyDescent="0.35">
      <c r="A32" s="14"/>
      <c r="B32" s="5"/>
      <c r="C32" s="9"/>
      <c r="D32" s="9"/>
      <c r="E32" s="6"/>
      <c r="F32" s="6"/>
      <c r="G32" s="6"/>
      <c r="H32" s="6"/>
      <c r="I32" s="6"/>
      <c r="J32" s="6"/>
      <c r="K32" s="6"/>
    </row>
    <row r="33" spans="1:11" x14ac:dyDescent="0.35">
      <c r="A33" s="60"/>
      <c r="B33" s="61" t="s">
        <v>154</v>
      </c>
      <c r="C33" s="62"/>
      <c r="D33" s="62"/>
      <c r="E33" s="63"/>
      <c r="F33" s="63"/>
      <c r="G33" s="63"/>
      <c r="H33" s="63"/>
      <c r="I33" s="63"/>
      <c r="J33" s="63"/>
      <c r="K33" s="63"/>
    </row>
    <row r="34" spans="1:11" x14ac:dyDescent="0.35">
      <c r="A34" s="14"/>
      <c r="B34" s="5" t="s">
        <v>155</v>
      </c>
      <c r="C34" s="56">
        <f t="shared" ref="C34:K34" si="9">C22</f>
        <v>3338319.9999999995</v>
      </c>
      <c r="D34" s="56">
        <f t="shared" si="9"/>
        <v>2781960</v>
      </c>
      <c r="E34" s="47">
        <f t="shared" si="9"/>
        <v>2225600.0000000009</v>
      </c>
      <c r="F34" s="47">
        <f t="shared" si="9"/>
        <v>1669240.0000000014</v>
      </c>
      <c r="G34" s="47">
        <f t="shared" si="9"/>
        <v>1112880.0000000012</v>
      </c>
      <c r="H34" s="47">
        <f t="shared" si="9"/>
        <v>556520.00000000116</v>
      </c>
      <c r="I34" s="47">
        <f t="shared" si="9"/>
        <v>0</v>
      </c>
      <c r="J34" s="47">
        <f t="shared" si="9"/>
        <v>0</v>
      </c>
      <c r="K34" s="47">
        <f t="shared" si="9"/>
        <v>0</v>
      </c>
    </row>
    <row r="35" spans="1:11" x14ac:dyDescent="0.35">
      <c r="A35" s="14"/>
      <c r="B35" s="5" t="s">
        <v>156</v>
      </c>
      <c r="C35" s="56">
        <f t="shared" ref="C35:K35" si="10">C21</f>
        <v>1305880.8889999976</v>
      </c>
      <c r="D35" s="56">
        <f t="shared" si="10"/>
        <v>1980802.4649999952</v>
      </c>
      <c r="E35" s="47">
        <f t="shared" si="10"/>
        <v>2650607.0822999938</v>
      </c>
      <c r="F35" s="47">
        <f t="shared" si="10"/>
        <v>3376102.4953129948</v>
      </c>
      <c r="G35" s="47">
        <f t="shared" si="10"/>
        <v>3954962.6771905264</v>
      </c>
      <c r="H35" s="47">
        <f t="shared" si="10"/>
        <v>4708444.4820474982</v>
      </c>
      <c r="I35" s="47">
        <f t="shared" si="10"/>
        <v>5711980.1970119718</v>
      </c>
      <c r="J35" s="47">
        <f t="shared" si="10"/>
        <v>7178609.1965599824</v>
      </c>
      <c r="K35" s="47">
        <f t="shared" si="10"/>
        <v>9091793.0391710233</v>
      </c>
    </row>
    <row r="36" spans="1:11" x14ac:dyDescent="0.35">
      <c r="A36" s="14"/>
      <c r="B36" s="5" t="s">
        <v>157</v>
      </c>
      <c r="C36" s="9">
        <f>C34/C35</f>
        <v>2.5563740369585926</v>
      </c>
      <c r="D36" s="9">
        <f t="shared" ref="D36:K36" si="11">D34/D35</f>
        <v>1.4044610955186825</v>
      </c>
      <c r="E36" s="6">
        <f t="shared" si="11"/>
        <v>0.8396567016144828</v>
      </c>
      <c r="F36" s="6">
        <f t="shared" si="11"/>
        <v>0.49442811713133372</v>
      </c>
      <c r="G36" s="6">
        <f t="shared" si="11"/>
        <v>0.2813882432869263</v>
      </c>
      <c r="H36" s="6">
        <f t="shared" si="11"/>
        <v>0.11819614781950126</v>
      </c>
      <c r="I36" s="47">
        <f t="shared" si="11"/>
        <v>0</v>
      </c>
      <c r="J36" s="47">
        <f t="shared" si="11"/>
        <v>0</v>
      </c>
      <c r="K36" s="47">
        <f t="shared" si="11"/>
        <v>0</v>
      </c>
    </row>
    <row r="37" spans="1:11" x14ac:dyDescent="0.35">
      <c r="A37" s="14"/>
      <c r="B37" s="59" t="s">
        <v>171</v>
      </c>
      <c r="C37" s="9"/>
      <c r="D37" s="9"/>
      <c r="E37" s="6"/>
      <c r="F37" s="6">
        <f>AVERAGE(C36:K36)</f>
        <v>0.63272270470327985</v>
      </c>
      <c r="G37" s="6"/>
      <c r="H37" s="6"/>
      <c r="I37" s="47"/>
      <c r="J37" s="47"/>
      <c r="K37" s="47"/>
    </row>
    <row r="38" spans="1:11" x14ac:dyDescent="0.35">
      <c r="A38" s="14"/>
      <c r="B38" s="5"/>
      <c r="C38" s="9"/>
      <c r="D38" s="9"/>
      <c r="E38" s="6"/>
      <c r="F38" s="6"/>
      <c r="G38" s="6"/>
      <c r="H38" s="6"/>
      <c r="I38" s="47"/>
      <c r="J38" s="47"/>
      <c r="K38" s="47"/>
    </row>
    <row r="39" spans="1:11" x14ac:dyDescent="0.35">
      <c r="A39" s="60"/>
      <c r="B39" s="61" t="s">
        <v>172</v>
      </c>
      <c r="C39" s="62"/>
      <c r="D39" s="62"/>
      <c r="E39" s="63"/>
      <c r="F39" s="63"/>
      <c r="G39" s="63"/>
      <c r="H39" s="63"/>
      <c r="I39" s="64"/>
      <c r="J39" s="64"/>
      <c r="K39" s="64"/>
    </row>
    <row r="40" spans="1:11" x14ac:dyDescent="0.35">
      <c r="A40" s="14"/>
      <c r="B40" s="59" t="s">
        <v>173</v>
      </c>
      <c r="C40" s="56">
        <f t="shared" ref="C40:K40" si="12">C11</f>
        <v>3594750</v>
      </c>
      <c r="D40" s="56">
        <f t="shared" si="12"/>
        <v>3089287.5</v>
      </c>
      <c r="E40" s="56">
        <f t="shared" si="12"/>
        <v>2656269.375</v>
      </c>
      <c r="F40" s="56">
        <f t="shared" si="12"/>
        <v>2285166.46875</v>
      </c>
      <c r="G40" s="56">
        <f t="shared" si="12"/>
        <v>1966995.2484375001</v>
      </c>
      <c r="H40" s="56">
        <f t="shared" si="12"/>
        <v>1694089.3361718752</v>
      </c>
      <c r="I40" s="56">
        <f t="shared" si="12"/>
        <v>1459904.9732460941</v>
      </c>
      <c r="J40" s="56">
        <f t="shared" si="12"/>
        <v>1258855.3610091801</v>
      </c>
      <c r="K40" s="56">
        <f t="shared" si="12"/>
        <v>1086169.5772328032</v>
      </c>
    </row>
    <row r="41" spans="1:11" x14ac:dyDescent="0.35">
      <c r="A41" s="14"/>
      <c r="B41" s="59" t="s">
        <v>155</v>
      </c>
      <c r="C41" s="56">
        <f>C22+C23</f>
        <v>4838320</v>
      </c>
      <c r="D41" s="56">
        <f t="shared" ref="D41:K41" si="13">D22+D23</f>
        <v>4281960</v>
      </c>
      <c r="E41" s="56">
        <f t="shared" si="13"/>
        <v>3725600.0000000009</v>
      </c>
      <c r="F41" s="56">
        <f t="shared" si="13"/>
        <v>3169240.0000000014</v>
      </c>
      <c r="G41" s="56">
        <f t="shared" si="13"/>
        <v>2612880.0000000009</v>
      </c>
      <c r="H41" s="56">
        <f t="shared" si="13"/>
        <v>2056520.0000000012</v>
      </c>
      <c r="I41" s="56">
        <f t="shared" si="13"/>
        <v>1500000</v>
      </c>
      <c r="J41" s="56">
        <f t="shared" si="13"/>
        <v>1500000</v>
      </c>
      <c r="K41" s="56">
        <f t="shared" si="13"/>
        <v>1500000</v>
      </c>
    </row>
    <row r="42" spans="1:11" x14ac:dyDescent="0.35">
      <c r="A42" s="14"/>
      <c r="B42" s="59" t="s">
        <v>166</v>
      </c>
      <c r="C42" s="9">
        <f>C40/C41</f>
        <v>0.74297483423998412</v>
      </c>
      <c r="D42" s="9">
        <f t="shared" ref="D42:K42" si="14">D40/D41</f>
        <v>0.72146575400050439</v>
      </c>
      <c r="E42" s="9">
        <f t="shared" si="14"/>
        <v>0.71297760763366957</v>
      </c>
      <c r="F42" s="9">
        <f t="shared" si="14"/>
        <v>0.72104557204566366</v>
      </c>
      <c r="G42" s="9">
        <f t="shared" si="14"/>
        <v>0.75280734225739387</v>
      </c>
      <c r="H42" s="9">
        <f t="shared" si="14"/>
        <v>0.82376506728447785</v>
      </c>
      <c r="I42" s="9">
        <f t="shared" si="14"/>
        <v>0.97326998216406269</v>
      </c>
      <c r="J42" s="9">
        <f t="shared" si="14"/>
        <v>0.83923690733945344</v>
      </c>
      <c r="K42" s="9">
        <f t="shared" si="14"/>
        <v>0.72411305148853544</v>
      </c>
    </row>
    <row r="43" spans="1:11" x14ac:dyDescent="0.35">
      <c r="A43" s="14"/>
      <c r="B43" s="59"/>
      <c r="C43" s="9"/>
      <c r="D43" s="9"/>
      <c r="E43" s="6"/>
      <c r="F43" s="6">
        <f>AVERAGE(C42:K42)</f>
        <v>0.77907290205041591</v>
      </c>
      <c r="G43" s="6"/>
      <c r="H43" s="6"/>
      <c r="I43" s="6"/>
      <c r="J43" s="6"/>
      <c r="K43" s="6"/>
    </row>
    <row r="44" spans="1:11" x14ac:dyDescent="0.35">
      <c r="A44" s="14"/>
      <c r="B44" s="5"/>
      <c r="C44" s="9"/>
      <c r="D44" s="9"/>
      <c r="E44" s="6"/>
      <c r="F44" s="6"/>
      <c r="G44" s="6"/>
      <c r="H44" s="6"/>
      <c r="I44" s="47"/>
      <c r="J44" s="47"/>
      <c r="K44" s="47"/>
    </row>
    <row r="45" spans="1:11" x14ac:dyDescent="0.35">
      <c r="A45" s="60"/>
      <c r="B45" s="61" t="s">
        <v>163</v>
      </c>
      <c r="C45" s="62"/>
      <c r="D45" s="62"/>
      <c r="E45" s="63"/>
      <c r="F45" s="63"/>
      <c r="G45" s="63"/>
      <c r="H45" s="63"/>
      <c r="I45" s="64"/>
      <c r="J45" s="64"/>
      <c r="K45" s="64"/>
    </row>
    <row r="46" spans="1:11" x14ac:dyDescent="0.35">
      <c r="A46" s="14"/>
      <c r="B46" s="5" t="s">
        <v>164</v>
      </c>
      <c r="C46" s="57">
        <f>'Ann 4'!C27</f>
        <v>364903.64999999991</v>
      </c>
      <c r="D46" s="57">
        <f>'Ann 4'!D27</f>
        <v>337781.1</v>
      </c>
      <c r="E46" s="57">
        <f>'Ann 4'!E27</f>
        <v>304399.5</v>
      </c>
      <c r="F46" s="57">
        <f>'Ann 4'!F27</f>
        <v>271017.90000000002</v>
      </c>
      <c r="G46" s="57">
        <f>'Ann 4'!G27</f>
        <v>237636.30000000005</v>
      </c>
      <c r="H46" s="57">
        <f>'Ann 4'!H27</f>
        <v>204254.70000000007</v>
      </c>
      <c r="I46" s="57">
        <f>'Ann 4'!I27</f>
        <v>170873.10000000006</v>
      </c>
      <c r="J46" s="57">
        <f>'Ann 4'!J27</f>
        <v>150000</v>
      </c>
      <c r="K46" s="57">
        <f>'Ann 4'!K27</f>
        <v>150000</v>
      </c>
    </row>
    <row r="47" spans="1:11" x14ac:dyDescent="0.35">
      <c r="A47" s="14"/>
      <c r="B47" s="5" t="s">
        <v>167</v>
      </c>
      <c r="C47" s="57">
        <f>(SUM('Ann 13'!D9:D12)*100000)+1500000</f>
        <v>1778180</v>
      </c>
      <c r="D47" s="57">
        <f>(SUM('Ann 13'!E9:E12)*100000)+1500000</f>
        <v>1714903.65</v>
      </c>
      <c r="E47" s="57">
        <f>(SUM('Ann 13'!F9:F12)*100000)+1500000</f>
        <v>1500000</v>
      </c>
      <c r="F47" s="57">
        <f>(SUM('Ann 13'!G9:G12)*100000)+1500000</f>
        <v>1500000</v>
      </c>
      <c r="G47" s="57">
        <f>(SUM('Ann 13'!H9:H12)*100000)+1500000</f>
        <v>1500000</v>
      </c>
      <c r="H47" s="57">
        <f>(SUM('Ann 13'!I9:I12)*100000)+1500000</f>
        <v>1500000</v>
      </c>
      <c r="I47" s="57">
        <f>(SUM('Ann 13'!J9:J12)*100000)+1500000</f>
        <v>1500000</v>
      </c>
      <c r="J47" s="57">
        <f>(SUM('Ann 13'!K9:K12)*100000)+1500000</f>
        <v>1500000</v>
      </c>
      <c r="K47" s="57">
        <f>(SUM('Ann 13'!L9:L12)*100000)+1500000</f>
        <v>1500000</v>
      </c>
    </row>
    <row r="48" spans="1:11" x14ac:dyDescent="0.35">
      <c r="A48" s="14"/>
      <c r="B48" s="5" t="s">
        <v>8</v>
      </c>
      <c r="C48" s="57">
        <f>SUM(C46:C47)</f>
        <v>2143083.65</v>
      </c>
      <c r="D48" s="57">
        <f t="shared" ref="D48:K48" si="15">SUM(D46:D47)</f>
        <v>2052684.75</v>
      </c>
      <c r="E48" s="18">
        <f t="shared" si="15"/>
        <v>1804399.5</v>
      </c>
      <c r="F48" s="18">
        <f t="shared" si="15"/>
        <v>1771017.9</v>
      </c>
      <c r="G48" s="18">
        <f t="shared" si="15"/>
        <v>1737636.3</v>
      </c>
      <c r="H48" s="18">
        <f t="shared" si="15"/>
        <v>1704254.7000000002</v>
      </c>
      <c r="I48" s="18">
        <f t="shared" si="15"/>
        <v>1670873.1</v>
      </c>
      <c r="J48" s="18">
        <f t="shared" si="15"/>
        <v>1650000</v>
      </c>
      <c r="K48" s="18">
        <f t="shared" si="15"/>
        <v>1650000</v>
      </c>
    </row>
    <row r="49" spans="1:11" x14ac:dyDescent="0.35">
      <c r="A49" s="14"/>
      <c r="B49" s="5" t="s">
        <v>165</v>
      </c>
      <c r="C49" s="57">
        <f>'Ann 4'!C22</f>
        <v>6222159.9999999851</v>
      </c>
      <c r="D49" s="57">
        <f>'Ann 4'!D22</f>
        <v>5664111.9999999851</v>
      </c>
      <c r="E49" s="18">
        <f>'Ann 4'!E22</f>
        <v>5521736.3199999928</v>
      </c>
      <c r="F49" s="18">
        <f>'Ann 4'!F22</f>
        <v>5824230.8992000073</v>
      </c>
      <c r="G49" s="18">
        <f>'Ann 4'!G22</f>
        <v>4690523.1051520109</v>
      </c>
      <c r="H49" s="18">
        <f>'Ann 4'!H22</f>
        <v>5859173.5041011423</v>
      </c>
      <c r="I49" s="18">
        <f>'Ann 4'!I22</f>
        <v>7573169.712672025</v>
      </c>
      <c r="J49" s="18">
        <f>'Ann 4'!J22</f>
        <v>10826971.037579849</v>
      </c>
      <c r="K49" s="18">
        <f>'Ann 4'!K22</f>
        <v>13988284.659569532</v>
      </c>
    </row>
    <row r="50" spans="1:11" x14ac:dyDescent="0.35">
      <c r="A50" s="49"/>
      <c r="B50" s="50" t="s">
        <v>166</v>
      </c>
      <c r="C50" s="11">
        <f>C49/C48</f>
        <v>2.9033677710153709</v>
      </c>
      <c r="D50" s="11">
        <f t="shared" ref="D50:K50" si="16">D49/D48</f>
        <v>2.7593677012507571</v>
      </c>
      <c r="E50" s="51">
        <f t="shared" si="16"/>
        <v>3.0601517679427381</v>
      </c>
      <c r="F50" s="51">
        <f t="shared" si="16"/>
        <v>3.2886346881078996</v>
      </c>
      <c r="G50" s="51">
        <f t="shared" si="16"/>
        <v>2.6993698883661734</v>
      </c>
      <c r="H50" s="51">
        <f t="shared" si="16"/>
        <v>3.4379682239404366</v>
      </c>
      <c r="I50" s="51">
        <f t="shared" si="16"/>
        <v>4.5324625267305008</v>
      </c>
      <c r="J50" s="51">
        <f t="shared" si="16"/>
        <v>6.5618006288362727</v>
      </c>
      <c r="K50" s="51">
        <f t="shared" si="16"/>
        <v>8.4777482785269882</v>
      </c>
    </row>
    <row r="51" spans="1:11" x14ac:dyDescent="0.35">
      <c r="A51" s="5"/>
      <c r="B51" s="59" t="s">
        <v>171</v>
      </c>
      <c r="C51" s="5"/>
      <c r="D51" s="5"/>
      <c r="E51" s="5"/>
      <c r="F51" s="5">
        <f>AVERAGE(D50:G50)</f>
        <v>2.9518810114168925</v>
      </c>
      <c r="G51" s="5"/>
      <c r="H51" s="5"/>
      <c r="I51" s="5"/>
      <c r="J51" s="5"/>
      <c r="K51" s="5"/>
    </row>
    <row r="52" spans="1:11" x14ac:dyDescent="0.35">
      <c r="I52" s="16"/>
      <c r="J52" s="16"/>
      <c r="K52" s="16"/>
    </row>
    <row r="54" spans="1:11" x14ac:dyDescent="0.35">
      <c r="A54" t="s">
        <v>307</v>
      </c>
    </row>
    <row r="55" spans="1:11" x14ac:dyDescent="0.35">
      <c r="A55" t="s">
        <v>153</v>
      </c>
    </row>
  </sheetData>
  <mergeCells count="3">
    <mergeCell ref="A5:A6"/>
    <mergeCell ref="B5:B6"/>
    <mergeCell ref="C5:K5"/>
  </mergeCells>
  <pageMargins left="0.7" right="0.7" top="0.75" bottom="0.75" header="0.3" footer="0.3"/>
  <pageSetup scale="6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F1FBF-6FFA-405B-9A95-302F8FAA33B6}">
  <dimension ref="A1:E16"/>
  <sheetViews>
    <sheetView workbookViewId="0">
      <selection activeCell="E14" sqref="E14"/>
    </sheetView>
  </sheetViews>
  <sheetFormatPr defaultRowHeight="14.5" x14ac:dyDescent="0.35"/>
  <cols>
    <col min="1" max="1" width="5.6328125" bestFit="1" customWidth="1"/>
    <col min="2" max="2" width="26.08984375" bestFit="1" customWidth="1"/>
    <col min="4" max="4" width="25" bestFit="1" customWidth="1"/>
    <col min="5" max="5" width="12.54296875" bestFit="1" customWidth="1"/>
  </cols>
  <sheetData>
    <row r="1" spans="1:5" x14ac:dyDescent="0.35">
      <c r="A1" s="22" t="s">
        <v>175</v>
      </c>
    </row>
    <row r="3" spans="1:5" x14ac:dyDescent="0.35">
      <c r="A3" s="3" t="s">
        <v>176</v>
      </c>
    </row>
    <row r="5" spans="1:5" x14ac:dyDescent="0.35">
      <c r="A5" s="34" t="s">
        <v>52</v>
      </c>
      <c r="B5" s="34" t="s">
        <v>53</v>
      </c>
      <c r="C5" s="34" t="s">
        <v>54</v>
      </c>
      <c r="D5" s="34" t="s">
        <v>55</v>
      </c>
      <c r="E5" s="34" t="s">
        <v>56</v>
      </c>
    </row>
    <row r="6" spans="1:5" x14ac:dyDescent="0.35">
      <c r="A6" s="41" t="s">
        <v>57</v>
      </c>
      <c r="B6" s="41" t="s">
        <v>223</v>
      </c>
      <c r="C6" s="41">
        <v>3</v>
      </c>
      <c r="D6" s="30">
        <v>20000</v>
      </c>
      <c r="E6" s="30">
        <f>D6*C6*12</f>
        <v>720000</v>
      </c>
    </row>
    <row r="7" spans="1:5" x14ac:dyDescent="0.35">
      <c r="A7" s="12" t="s">
        <v>58</v>
      </c>
      <c r="B7" s="12" t="s">
        <v>61</v>
      </c>
      <c r="C7" s="12">
        <v>1</v>
      </c>
      <c r="D7" s="30">
        <v>30000</v>
      </c>
      <c r="E7" s="30">
        <f>D7*C7*12</f>
        <v>360000</v>
      </c>
    </row>
    <row r="8" spans="1:5" x14ac:dyDescent="0.35">
      <c r="A8" s="12" t="s">
        <v>62</v>
      </c>
      <c r="B8" s="12" t="s">
        <v>177</v>
      </c>
      <c r="C8" s="12">
        <v>1</v>
      </c>
      <c r="D8" s="30">
        <v>12000</v>
      </c>
      <c r="E8" s="30">
        <f>D8*C8*12</f>
        <v>144000</v>
      </c>
    </row>
    <row r="9" spans="1:5" x14ac:dyDescent="0.35">
      <c r="A9" s="93" t="s">
        <v>8</v>
      </c>
      <c r="B9" s="93"/>
      <c r="C9" s="93"/>
      <c r="D9" s="93"/>
      <c r="E9" s="40">
        <f>SUM(E6:E8)</f>
        <v>1224000</v>
      </c>
    </row>
    <row r="10" spans="1:5" x14ac:dyDescent="0.35">
      <c r="A10" s="43"/>
      <c r="B10" s="45"/>
      <c r="C10" s="45"/>
      <c r="D10" s="45"/>
      <c r="E10" s="46"/>
    </row>
    <row r="11" spans="1:5" x14ac:dyDescent="0.35">
      <c r="A11" s="49" t="s">
        <v>183</v>
      </c>
      <c r="B11" s="50"/>
      <c r="C11" s="50"/>
      <c r="D11" s="50"/>
      <c r="E11" s="52">
        <f>E9*20%</f>
        <v>244800</v>
      </c>
    </row>
    <row r="12" spans="1:5" x14ac:dyDescent="0.35">
      <c r="A12" s="13" t="s">
        <v>8</v>
      </c>
      <c r="B12" s="4"/>
      <c r="C12" s="4"/>
      <c r="D12" s="4"/>
      <c r="E12" s="53">
        <f>SUM(E9:E11)</f>
        <v>1468800</v>
      </c>
    </row>
    <row r="14" spans="1:5" x14ac:dyDescent="0.35">
      <c r="A14" t="s">
        <v>59</v>
      </c>
      <c r="E14" s="16">
        <f>E12</f>
        <v>1468800</v>
      </c>
    </row>
    <row r="15" spans="1:5" x14ac:dyDescent="0.35">
      <c r="A15" t="s">
        <v>60</v>
      </c>
      <c r="E15" s="25">
        <v>0.05</v>
      </c>
    </row>
    <row r="16" spans="1:5" x14ac:dyDescent="0.35">
      <c r="A16" t="s">
        <v>179</v>
      </c>
      <c r="E16">
        <f>SUM(C6:C8)</f>
        <v>5</v>
      </c>
    </row>
  </sheetData>
  <mergeCells count="1">
    <mergeCell ref="A9:D9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D6B57-BA66-499F-8B17-ED356988118B}">
  <sheetPr>
    <pageSetUpPr fitToPage="1"/>
  </sheetPr>
  <dimension ref="A1:F22"/>
  <sheetViews>
    <sheetView workbookViewId="0">
      <selection activeCell="F11" sqref="F11"/>
    </sheetView>
  </sheetViews>
  <sheetFormatPr defaultRowHeight="14.5" x14ac:dyDescent="0.35"/>
  <cols>
    <col min="1" max="1" width="6.36328125" bestFit="1" customWidth="1"/>
    <col min="2" max="2" width="18.81640625" bestFit="1" customWidth="1"/>
    <col min="3" max="3" width="19.453125" bestFit="1" customWidth="1"/>
    <col min="4" max="4" width="18.08984375" bestFit="1" customWidth="1"/>
    <col min="5" max="5" width="14.453125" bestFit="1" customWidth="1"/>
    <col min="6" max="6" width="26.453125" bestFit="1" customWidth="1"/>
  </cols>
  <sheetData>
    <row r="1" spans="1:6" x14ac:dyDescent="0.35">
      <c r="A1" s="22" t="s">
        <v>64</v>
      </c>
    </row>
    <row r="3" spans="1:6" x14ac:dyDescent="0.35">
      <c r="A3" s="3" t="s">
        <v>63</v>
      </c>
    </row>
    <row r="5" spans="1:6" x14ac:dyDescent="0.35">
      <c r="A5" s="34" t="s">
        <v>24</v>
      </c>
      <c r="B5" s="34" t="s">
        <v>3</v>
      </c>
      <c r="C5" s="34" t="s">
        <v>67</v>
      </c>
      <c r="D5" s="34" t="s">
        <v>11</v>
      </c>
      <c r="E5" s="34" t="s">
        <v>68</v>
      </c>
      <c r="F5" s="34" t="s">
        <v>69</v>
      </c>
    </row>
    <row r="6" spans="1:6" x14ac:dyDescent="0.35">
      <c r="A6" s="12" t="s">
        <v>57</v>
      </c>
      <c r="B6" s="12" t="s">
        <v>13</v>
      </c>
      <c r="C6" s="30">
        <f>'Ann 1'!C15*100000</f>
        <v>750000</v>
      </c>
      <c r="D6" s="30">
        <f>('Ann 1'!C20+'Ann 1'!C37)*100000</f>
        <v>3435000</v>
      </c>
      <c r="E6" s="30">
        <v>0</v>
      </c>
      <c r="F6" s="12">
        <f>SUM(C6:E6)/100000</f>
        <v>41.85</v>
      </c>
    </row>
    <row r="7" spans="1:6" x14ac:dyDescent="0.35">
      <c r="A7" s="12" t="s">
        <v>58</v>
      </c>
      <c r="B7" s="12" t="s">
        <v>65</v>
      </c>
      <c r="C7" s="30">
        <v>0</v>
      </c>
      <c r="D7" s="30">
        <v>0</v>
      </c>
      <c r="E7" s="30">
        <v>0</v>
      </c>
      <c r="F7" s="30">
        <f>SUM(C7:E7)/100000</f>
        <v>0</v>
      </c>
    </row>
    <row r="8" spans="1:6" x14ac:dyDescent="0.35">
      <c r="A8" s="12" t="s">
        <v>62</v>
      </c>
      <c r="B8" s="12" t="s">
        <v>66</v>
      </c>
      <c r="C8" s="30">
        <v>0</v>
      </c>
      <c r="D8" s="30">
        <v>0</v>
      </c>
      <c r="E8" s="30">
        <v>0</v>
      </c>
      <c r="F8" s="30">
        <f>SUM(C8:E8)/100000</f>
        <v>0</v>
      </c>
    </row>
    <row r="9" spans="1:6" x14ac:dyDescent="0.35">
      <c r="A9" s="12"/>
      <c r="B9" s="93" t="s">
        <v>8</v>
      </c>
      <c r="C9" s="93"/>
      <c r="D9" s="93"/>
      <c r="E9" s="93"/>
      <c r="F9" s="12">
        <f>SUM(F6:F8)</f>
        <v>41.85</v>
      </c>
    </row>
    <row r="11" spans="1:6" x14ac:dyDescent="0.35">
      <c r="A11" s="12"/>
      <c r="B11" s="12" t="s">
        <v>70</v>
      </c>
      <c r="C11" s="73">
        <v>0.1</v>
      </c>
      <c r="D11" s="73">
        <v>0.15</v>
      </c>
      <c r="E11" s="73">
        <v>0.1</v>
      </c>
      <c r="F11" s="12" t="s">
        <v>222</v>
      </c>
    </row>
    <row r="12" spans="1:6" x14ac:dyDescent="0.35">
      <c r="A12" s="81" t="s">
        <v>71</v>
      </c>
      <c r="B12" s="77">
        <v>1</v>
      </c>
      <c r="C12" s="82">
        <f>C11*C6</f>
        <v>75000</v>
      </c>
      <c r="D12" s="82">
        <f>D11*D6</f>
        <v>515250</v>
      </c>
      <c r="E12" s="82">
        <f>E11*E6</f>
        <v>0</v>
      </c>
      <c r="F12" s="82">
        <f>SUM(C12:E12)</f>
        <v>590250</v>
      </c>
    </row>
    <row r="13" spans="1:6" x14ac:dyDescent="0.35">
      <c r="A13" s="81" t="s">
        <v>71</v>
      </c>
      <c r="B13" s="77">
        <v>2</v>
      </c>
      <c r="C13" s="82">
        <f>(C6-C12)*C11</f>
        <v>67500</v>
      </c>
      <c r="D13" s="82">
        <f>(D6-D12)*D11</f>
        <v>437962.5</v>
      </c>
      <c r="E13" s="82">
        <f>(E6-E12)*E11</f>
        <v>0</v>
      </c>
      <c r="F13" s="82">
        <f>SUM(C13:E13)</f>
        <v>505462.5</v>
      </c>
    </row>
    <row r="14" spans="1:6" x14ac:dyDescent="0.35">
      <c r="A14" s="81" t="s">
        <v>71</v>
      </c>
      <c r="B14" s="77">
        <v>3</v>
      </c>
      <c r="C14" s="82">
        <f>(C6-C12-C13)*C11</f>
        <v>60750</v>
      </c>
      <c r="D14" s="82">
        <f>(D6-D12-D13)*D11</f>
        <v>372268.125</v>
      </c>
      <c r="E14" s="82">
        <f>(E6-E12-E13)*E11</f>
        <v>0</v>
      </c>
      <c r="F14" s="82">
        <f t="shared" ref="F14:F20" si="0">SUM(C14:E14)</f>
        <v>433018.125</v>
      </c>
    </row>
    <row r="15" spans="1:6" x14ac:dyDescent="0.35">
      <c r="A15" s="81" t="s">
        <v>71</v>
      </c>
      <c r="B15" s="77">
        <v>4</v>
      </c>
      <c r="C15" s="82">
        <f>(C6-C12-C13-C14)*C11</f>
        <v>54675</v>
      </c>
      <c r="D15" s="82">
        <f>(D6-D12-D13-D14)*D11</f>
        <v>316427.90625</v>
      </c>
      <c r="E15" s="82">
        <f>(E6-E12-E13-E14)*E11</f>
        <v>0</v>
      </c>
      <c r="F15" s="82">
        <f t="shared" si="0"/>
        <v>371102.90625</v>
      </c>
    </row>
    <row r="16" spans="1:6" x14ac:dyDescent="0.35">
      <c r="A16" s="81" t="s">
        <v>71</v>
      </c>
      <c r="B16" s="77">
        <v>5</v>
      </c>
      <c r="C16" s="82">
        <f>(C6-C12-C13-C14-C15)*C11</f>
        <v>49207.5</v>
      </c>
      <c r="D16" s="82">
        <f>(D6-D12-D13-D14-D15)*D11</f>
        <v>268963.72031249997</v>
      </c>
      <c r="E16" s="82">
        <f>(E6-E12-E13-E14-E15)*E11</f>
        <v>0</v>
      </c>
      <c r="F16" s="82">
        <f t="shared" si="0"/>
        <v>318171.22031249997</v>
      </c>
    </row>
    <row r="17" spans="1:6" x14ac:dyDescent="0.35">
      <c r="A17" s="81" t="s">
        <v>71</v>
      </c>
      <c r="B17" s="77">
        <v>6</v>
      </c>
      <c r="C17" s="82">
        <f>(C6-C12-C13-C14-C15-C16)*C11</f>
        <v>44286.75</v>
      </c>
      <c r="D17" s="82">
        <f>(D6-D12-D13-D14-D15-D16)*D11</f>
        <v>228619.162265625</v>
      </c>
      <c r="E17" s="82">
        <f>(E6-E12-E13-E14-E15-E16)*E11</f>
        <v>0</v>
      </c>
      <c r="F17" s="82">
        <f t="shared" si="0"/>
        <v>272905.91226562497</v>
      </c>
    </row>
    <row r="18" spans="1:6" x14ac:dyDescent="0.35">
      <c r="A18" s="81" t="s">
        <v>71</v>
      </c>
      <c r="B18" s="77">
        <v>7</v>
      </c>
      <c r="C18" s="82">
        <f>(C6-C12-C13-C14-C15-C16-C17)*C11</f>
        <v>39858.075000000004</v>
      </c>
      <c r="D18" s="82">
        <f>(D6-D12-D13-D14-D15-D16-D17)*D11</f>
        <v>194326.28792578125</v>
      </c>
      <c r="E18" s="82">
        <f>(E6-E12-E13-E14-E15-E16-E17)*E11</f>
        <v>0</v>
      </c>
      <c r="F18" s="82">
        <f t="shared" si="0"/>
        <v>234184.36292578126</v>
      </c>
    </row>
    <row r="19" spans="1:6" x14ac:dyDescent="0.35">
      <c r="A19" s="81" t="s">
        <v>71</v>
      </c>
      <c r="B19" s="77">
        <v>8</v>
      </c>
      <c r="C19" s="82">
        <f>(C6-C12-C13-C14-C15-C16-C17-C18)*C11</f>
        <v>35872.267500000002</v>
      </c>
      <c r="D19" s="82">
        <f>(D6-D12-D13-D14-D15-D16-D17-D18)*D11</f>
        <v>165177.34473691406</v>
      </c>
      <c r="E19" s="82">
        <f>(E6-E12-E13-E14-E15-E16-E17-E18)*E11</f>
        <v>0</v>
      </c>
      <c r="F19" s="82">
        <f t="shared" si="0"/>
        <v>201049.61223691405</v>
      </c>
    </row>
    <row r="20" spans="1:6" x14ac:dyDescent="0.35">
      <c r="A20" s="81" t="s">
        <v>71</v>
      </c>
      <c r="B20" s="77">
        <v>9</v>
      </c>
      <c r="C20" s="82">
        <f>(C6-C12-C13-C14-C15-C16-C17-C18-C19)*C11</f>
        <v>32285.04075</v>
      </c>
      <c r="D20" s="82">
        <f>(D6-D12-D13-D14-D15-D16-D17-D18-D19)*D11</f>
        <v>140400.74302637696</v>
      </c>
      <c r="E20" s="82">
        <f>(E6-E12-E13-E14-E15-E16-E17-E18-E19)*E11</f>
        <v>0</v>
      </c>
      <c r="F20" s="82">
        <f t="shared" si="0"/>
        <v>172685.78377637698</v>
      </c>
    </row>
    <row r="21" spans="1:6" x14ac:dyDescent="0.35">
      <c r="B21" s="1"/>
    </row>
    <row r="22" spans="1:6" x14ac:dyDescent="0.35">
      <c r="A22" s="29" t="s">
        <v>253</v>
      </c>
    </row>
  </sheetData>
  <mergeCells count="1">
    <mergeCell ref="B9:E9"/>
  </mergeCells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6521A-756D-4D90-8C99-73BDFD6A7811}">
  <sheetPr>
    <pageSetUpPr fitToPage="1"/>
  </sheetPr>
  <dimension ref="A1:J14"/>
  <sheetViews>
    <sheetView topLeftCell="A2" workbookViewId="0">
      <selection activeCell="E24" sqref="E24"/>
    </sheetView>
  </sheetViews>
  <sheetFormatPr defaultRowHeight="14.5" x14ac:dyDescent="0.35"/>
  <cols>
    <col min="1" max="1" width="20.90625" customWidth="1"/>
    <col min="2" max="10" width="13.6328125" bestFit="1" customWidth="1"/>
  </cols>
  <sheetData>
    <row r="1" spans="1:10" x14ac:dyDescent="0.35">
      <c r="A1" s="22" t="s">
        <v>123</v>
      </c>
    </row>
    <row r="3" spans="1:10" x14ac:dyDescent="0.35">
      <c r="A3" s="3" t="s">
        <v>124</v>
      </c>
    </row>
    <row r="5" spans="1:10" x14ac:dyDescent="0.35">
      <c r="A5" s="92" t="s">
        <v>3</v>
      </c>
      <c r="B5" s="92" t="s">
        <v>48</v>
      </c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2"/>
      <c r="B6" s="34" t="s">
        <v>39</v>
      </c>
      <c r="C6" s="34" t="s">
        <v>40</v>
      </c>
      <c r="D6" s="34" t="s">
        <v>41</v>
      </c>
      <c r="E6" s="34" t="s">
        <v>42</v>
      </c>
      <c r="F6" s="34" t="s">
        <v>43</v>
      </c>
      <c r="G6" s="34" t="s">
        <v>44</v>
      </c>
      <c r="H6" s="34" t="s">
        <v>45</v>
      </c>
      <c r="I6" s="34" t="s">
        <v>46</v>
      </c>
      <c r="J6" s="34" t="s">
        <v>47</v>
      </c>
    </row>
    <row r="7" spans="1:10" x14ac:dyDescent="0.35">
      <c r="A7" s="12" t="s">
        <v>125</v>
      </c>
      <c r="B7" s="30">
        <f>'Ann 4'!C29</f>
        <v>5857256.3499999847</v>
      </c>
      <c r="C7" s="30">
        <f>'Ann 4'!D29</f>
        <v>5326330.8999999855</v>
      </c>
      <c r="D7" s="30">
        <f>'Ann 4'!E29</f>
        <v>5217336.8199999928</v>
      </c>
      <c r="E7" s="30">
        <f>'Ann 4'!F29</f>
        <v>5553212.9992000069</v>
      </c>
      <c r="F7" s="30">
        <f>'Ann 4'!G29</f>
        <v>4452886.8051520111</v>
      </c>
      <c r="G7" s="30">
        <f>'Ann 4'!H29</f>
        <v>5654918.8041011421</v>
      </c>
      <c r="H7" s="30">
        <f>'Ann 4'!I29</f>
        <v>7402296.6126720253</v>
      </c>
      <c r="I7" s="30">
        <f>'Ann 4'!J29</f>
        <v>10676971.037579849</v>
      </c>
      <c r="J7" s="30">
        <f>'Ann 4'!K29</f>
        <v>13838284.659569532</v>
      </c>
    </row>
    <row r="8" spans="1:10" x14ac:dyDescent="0.35">
      <c r="A8" s="12" t="s">
        <v>126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</row>
    <row r="9" spans="1:10" x14ac:dyDescent="0.35">
      <c r="A9" s="12" t="s">
        <v>127</v>
      </c>
      <c r="B9" s="30">
        <f>B7+B8</f>
        <v>5857256.3499999847</v>
      </c>
      <c r="C9" s="30">
        <f t="shared" ref="C9:J9" si="0">C7+C8</f>
        <v>5326330.8999999855</v>
      </c>
      <c r="D9" s="30">
        <f t="shared" si="0"/>
        <v>5217336.8199999928</v>
      </c>
      <c r="E9" s="30">
        <f t="shared" si="0"/>
        <v>5553212.9992000069</v>
      </c>
      <c r="F9" s="30">
        <f t="shared" si="0"/>
        <v>4452886.8051520111</v>
      </c>
      <c r="G9" s="30">
        <f t="shared" si="0"/>
        <v>5654918.8041011421</v>
      </c>
      <c r="H9" s="30">
        <f t="shared" si="0"/>
        <v>7402296.6126720253</v>
      </c>
      <c r="I9" s="30">
        <f t="shared" si="0"/>
        <v>10676971.037579849</v>
      </c>
      <c r="J9" s="30">
        <f t="shared" si="0"/>
        <v>13838284.659569532</v>
      </c>
    </row>
    <row r="10" spans="1:10" x14ac:dyDescent="0.35">
      <c r="A10" s="12" t="s">
        <v>128</v>
      </c>
      <c r="B10" s="30">
        <f>SUM('Ann 9'!C12:E12)</f>
        <v>590250</v>
      </c>
      <c r="C10" s="30">
        <f>SUM('Ann 9'!C13:E13)</f>
        <v>505462.5</v>
      </c>
      <c r="D10" s="30">
        <f>SUM('Ann 9'!C14:E14)</f>
        <v>433018.125</v>
      </c>
      <c r="E10" s="30">
        <f>SUM('Ann 9'!C15:E15)</f>
        <v>371102.90625</v>
      </c>
      <c r="F10" s="30">
        <f>SUM('Ann 9'!C16:E16)</f>
        <v>318171.22031249997</v>
      </c>
      <c r="G10" s="30">
        <f>SUM('Ann 9'!C17:E17)</f>
        <v>272905.91226562497</v>
      </c>
      <c r="H10" s="30">
        <f>SUM('Ann 9'!C18:E18)</f>
        <v>234184.36292578126</v>
      </c>
      <c r="I10" s="30">
        <f>SUM('Ann 9'!C19:E19)</f>
        <v>201049.61223691405</v>
      </c>
      <c r="J10" s="30">
        <f>SUM('Ann 9'!C20:E20)</f>
        <v>172685.78377637698</v>
      </c>
    </row>
    <row r="11" spans="1:10" x14ac:dyDescent="0.35">
      <c r="A11" s="12" t="s">
        <v>127</v>
      </c>
      <c r="B11" s="30">
        <f>B9-B10</f>
        <v>5267006.3499999847</v>
      </c>
      <c r="C11" s="30">
        <f t="shared" ref="C11:J11" si="1">C9-C10</f>
        <v>4820868.3999999855</v>
      </c>
      <c r="D11" s="30">
        <f t="shared" si="1"/>
        <v>4784318.6949999928</v>
      </c>
      <c r="E11" s="30">
        <f t="shared" si="1"/>
        <v>5182110.0929500069</v>
      </c>
      <c r="F11" s="30">
        <f t="shared" si="1"/>
        <v>4134715.5848395112</v>
      </c>
      <c r="G11" s="30">
        <f t="shared" si="1"/>
        <v>5382012.8918355173</v>
      </c>
      <c r="H11" s="30">
        <f t="shared" si="1"/>
        <v>7168112.2497462444</v>
      </c>
      <c r="I11" s="30">
        <f t="shared" si="1"/>
        <v>10475921.425342936</v>
      </c>
      <c r="J11" s="30">
        <f t="shared" si="1"/>
        <v>13665598.875793155</v>
      </c>
    </row>
    <row r="12" spans="1:10" x14ac:dyDescent="0.35">
      <c r="A12" s="12" t="s">
        <v>129</v>
      </c>
      <c r="B12" s="54">
        <v>0</v>
      </c>
      <c r="C12" s="54">
        <v>0</v>
      </c>
      <c r="D12" s="54">
        <v>0</v>
      </c>
      <c r="E12" s="54">
        <v>0</v>
      </c>
      <c r="F12" s="54">
        <v>0</v>
      </c>
      <c r="G12" s="54">
        <v>0</v>
      </c>
      <c r="H12" s="54">
        <v>0</v>
      </c>
      <c r="I12" s="54">
        <v>0</v>
      </c>
      <c r="J12" s="54">
        <v>0</v>
      </c>
    </row>
    <row r="13" spans="1:10" x14ac:dyDescent="0.35">
      <c r="A13" s="12" t="s">
        <v>130</v>
      </c>
      <c r="B13" s="40">
        <f>B11</f>
        <v>5267006.3499999847</v>
      </c>
      <c r="C13" s="40">
        <f t="shared" ref="C13:J13" si="2">C11</f>
        <v>4820868.3999999855</v>
      </c>
      <c r="D13" s="40">
        <f t="shared" si="2"/>
        <v>4784318.6949999928</v>
      </c>
      <c r="E13" s="40">
        <f t="shared" si="2"/>
        <v>5182110.0929500069</v>
      </c>
      <c r="F13" s="40">
        <f t="shared" si="2"/>
        <v>4134715.5848395112</v>
      </c>
      <c r="G13" s="40">
        <f t="shared" si="2"/>
        <v>5382012.8918355173</v>
      </c>
      <c r="H13" s="40">
        <f t="shared" si="2"/>
        <v>7168112.2497462444</v>
      </c>
      <c r="I13" s="40">
        <f t="shared" si="2"/>
        <v>10475921.425342936</v>
      </c>
      <c r="J13" s="40">
        <f t="shared" si="2"/>
        <v>13665598.875793155</v>
      </c>
    </row>
    <row r="14" spans="1:10" x14ac:dyDescent="0.35">
      <c r="A14" s="12" t="s">
        <v>131</v>
      </c>
      <c r="B14" s="40">
        <f>B13*30%</f>
        <v>1580101.9049999954</v>
      </c>
      <c r="C14" s="40">
        <f t="shared" ref="C14:J14" si="3">C13*30%</f>
        <v>1446260.5199999956</v>
      </c>
      <c r="D14" s="40">
        <f t="shared" si="3"/>
        <v>1435295.6084999978</v>
      </c>
      <c r="E14" s="40">
        <f t="shared" si="3"/>
        <v>1554633.0278850021</v>
      </c>
      <c r="F14" s="40">
        <f t="shared" si="3"/>
        <v>1240414.6754518533</v>
      </c>
      <c r="G14" s="40">
        <f t="shared" si="3"/>
        <v>1614603.867550655</v>
      </c>
      <c r="H14" s="40">
        <f t="shared" si="3"/>
        <v>2150433.674923873</v>
      </c>
      <c r="I14" s="40">
        <f t="shared" si="3"/>
        <v>3142776.4276028806</v>
      </c>
      <c r="J14" s="40">
        <f t="shared" si="3"/>
        <v>4099679.6627379465</v>
      </c>
    </row>
  </sheetData>
  <mergeCells count="2">
    <mergeCell ref="B5:J5"/>
    <mergeCell ref="A5:A6"/>
  </mergeCells>
  <pageMargins left="0.7" right="0.7" top="0.75" bottom="0.75" header="0.3" footer="0.3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Contents</vt:lpstr>
      <vt:lpstr>Ann 1</vt:lpstr>
      <vt:lpstr>Ann 2</vt:lpstr>
      <vt:lpstr>Ann 3</vt:lpstr>
      <vt:lpstr>Ann 4</vt:lpstr>
      <vt:lpstr>Ann 5</vt:lpstr>
      <vt:lpstr>Ann 8</vt:lpstr>
      <vt:lpstr>Ann 9</vt:lpstr>
      <vt:lpstr>Ann 10</vt:lpstr>
      <vt:lpstr>Ann 11</vt:lpstr>
      <vt:lpstr>Ann 12</vt:lpstr>
      <vt:lpstr>Ann 13</vt:lpstr>
      <vt:lpstr>Budgets</vt:lpstr>
      <vt:lpstr>Cash flows</vt:lpstr>
      <vt:lpstr>For word file</vt:lpstr>
      <vt:lpstr>Assumptions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Navodita Arya</dc:creator>
  <cp:lastModifiedBy>Navodita Arya</cp:lastModifiedBy>
  <cp:lastPrinted>2021-07-15T08:20:38Z</cp:lastPrinted>
  <dcterms:created xsi:type="dcterms:W3CDTF">2021-07-04T07:21:16Z</dcterms:created>
  <dcterms:modified xsi:type="dcterms:W3CDTF">2021-07-15T08:27:08Z</dcterms:modified>
</cp:coreProperties>
</file>