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 Assignments\6. Ashiwini Mittal Sir- Nabcons\13. Flour Mill\Without subsidy\"/>
    </mc:Choice>
  </mc:AlternateContent>
  <xr:revisionPtr revIDLastSave="0" documentId="13_ncr:1_{0B12F3F4-3D47-4C19-A5CA-A57557D953A0}"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D6" i="2"/>
  <c r="E18" i="4"/>
  <c r="F18" i="4"/>
  <c r="G18" i="4"/>
  <c r="H18" i="4"/>
  <c r="I18" i="4"/>
  <c r="J18" i="4"/>
  <c r="K18" i="4"/>
  <c r="D18" i="4"/>
  <c r="C18" i="4"/>
  <c r="C23" i="11"/>
  <c r="E7" i="4"/>
  <c r="F7" i="4"/>
  <c r="G7" i="4"/>
  <c r="H7" i="4"/>
  <c r="I7" i="4"/>
  <c r="J7" i="4"/>
  <c r="K7" i="4"/>
  <c r="C7" i="4"/>
  <c r="D7" i="4"/>
  <c r="E7" i="9"/>
  <c r="E17" i="4"/>
  <c r="F17" i="4"/>
  <c r="G17" i="4"/>
  <c r="H17" i="4"/>
  <c r="I17" i="4"/>
  <c r="J17" i="4"/>
  <c r="K17" i="4"/>
  <c r="D17" i="4"/>
  <c r="C17" i="4"/>
  <c r="B14" i="19"/>
  <c r="E4" i="3"/>
  <c r="D5" i="22"/>
  <c r="C43" i="4"/>
  <c r="C8" i="4" s="1"/>
  <c r="E9" i="9" l="1"/>
  <c r="E17" i="3" l="1"/>
  <c r="E10" i="9"/>
  <c r="C21" i="11"/>
  <c r="C35" i="1"/>
  <c r="E4" i="22"/>
  <c r="E5" i="22" s="1"/>
  <c r="B8" i="18"/>
  <c r="C32" i="4"/>
  <c r="B13" i="18" s="1"/>
  <c r="E18" i="9"/>
  <c r="E8" i="10"/>
  <c r="E6" i="10"/>
  <c r="F5" i="19" l="1"/>
  <c r="F6" i="19" s="1"/>
  <c r="F8" i="19" s="1"/>
  <c r="E12" i="10"/>
  <c r="E13" i="10" s="1"/>
  <c r="F4" i="22"/>
  <c r="B5" i="19"/>
  <c r="C5" i="19"/>
  <c r="D5" i="19"/>
  <c r="J5" i="19"/>
  <c r="I5" i="19"/>
  <c r="E5" i="19"/>
  <c r="H5" i="19"/>
  <c r="G5" i="19"/>
  <c r="C23" i="1"/>
  <c r="E8" i="9"/>
  <c r="D28" i="4"/>
  <c r="E28" i="4"/>
  <c r="F28" i="4"/>
  <c r="G28" i="4"/>
  <c r="H28" i="4"/>
  <c r="I28" i="4"/>
  <c r="J28" i="4"/>
  <c r="K28" i="4"/>
  <c r="C28" i="4"/>
  <c r="C7" i="2"/>
  <c r="E5" i="3"/>
  <c r="B13" i="23"/>
  <c r="B15" i="23" s="1"/>
  <c r="B17" i="23" s="1"/>
  <c r="B9" i="23"/>
  <c r="G4" i="22" l="1"/>
  <c r="F5" i="22"/>
  <c r="J6" i="19"/>
  <c r="C6" i="19"/>
  <c r="C8" i="19" s="1"/>
  <c r="B6" i="19"/>
  <c r="D6" i="19"/>
  <c r="D8" i="19" s="1"/>
  <c r="F23" i="19"/>
  <c r="F24" i="19"/>
  <c r="G6" i="19"/>
  <c r="H6" i="19"/>
  <c r="E6" i="19"/>
  <c r="E8" i="19" s="1"/>
  <c r="I6" i="19"/>
  <c r="I8" i="19" s="1"/>
  <c r="F7" i="19"/>
  <c r="B4" i="18"/>
  <c r="D8" i="11"/>
  <c r="C25" i="11" s="1"/>
  <c r="E14" i="10"/>
  <c r="C9" i="4"/>
  <c r="C15" i="1"/>
  <c r="C6" i="10" s="1"/>
  <c r="E21" i="3"/>
  <c r="B18" i="19"/>
  <c r="A6" i="21"/>
  <c r="H4" i="22" l="1"/>
  <c r="G5" i="22"/>
  <c r="F9" i="19"/>
  <c r="F10" i="19" s="1"/>
  <c r="G23" i="4" s="1"/>
  <c r="G10" i="4" s="1"/>
  <c r="D9" i="4"/>
  <c r="E9" i="4" s="1"/>
  <c r="F9" i="4" s="1"/>
  <c r="G9" i="4" s="1"/>
  <c r="H9" i="4" s="1"/>
  <c r="I9" i="4" s="1"/>
  <c r="J9" i="4" s="1"/>
  <c r="K9" i="4" s="1"/>
  <c r="E14" i="11"/>
  <c r="G7" i="19"/>
  <c r="G8" i="19"/>
  <c r="H7" i="19"/>
  <c r="H8" i="19"/>
  <c r="J7" i="19"/>
  <c r="J8" i="19"/>
  <c r="B23" i="19"/>
  <c r="B8" i="19"/>
  <c r="B24" i="19"/>
  <c r="G24" i="19"/>
  <c r="G23" i="19"/>
  <c r="B7" i="19"/>
  <c r="C24" i="19"/>
  <c r="C23" i="19"/>
  <c r="E23" i="19"/>
  <c r="E24" i="19"/>
  <c r="H24" i="19"/>
  <c r="H23" i="19"/>
  <c r="I24" i="19"/>
  <c r="I23" i="19"/>
  <c r="C7" i="19"/>
  <c r="D23" i="19"/>
  <c r="D24" i="19"/>
  <c r="D7" i="19"/>
  <c r="I7" i="19"/>
  <c r="E7" i="19"/>
  <c r="J24" i="19"/>
  <c r="J23" i="19"/>
  <c r="E15" i="10"/>
  <c r="A13" i="21"/>
  <c r="A11" i="21"/>
  <c r="A10" i="21"/>
  <c r="A9" i="21"/>
  <c r="K47" i="7"/>
  <c r="J47" i="7"/>
  <c r="D23" i="7"/>
  <c r="E23" i="7"/>
  <c r="F23" i="7"/>
  <c r="G23" i="7"/>
  <c r="H23" i="7"/>
  <c r="I23" i="7"/>
  <c r="I34" i="7" s="1"/>
  <c r="J23" i="7"/>
  <c r="J34" i="7" s="1"/>
  <c r="K23" i="7"/>
  <c r="K34" i="7" s="1"/>
  <c r="C23" i="7"/>
  <c r="A14" i="21"/>
  <c r="H5" i="22" l="1"/>
  <c r="I4" i="22"/>
  <c r="J4" i="22" s="1"/>
  <c r="K4" i="22" s="1"/>
  <c r="L4" i="22" s="1"/>
  <c r="E9" i="19"/>
  <c r="E10" i="19" s="1"/>
  <c r="F23" i="4" s="1"/>
  <c r="F10" i="4" s="1"/>
  <c r="H9" i="19"/>
  <c r="H10" i="19" s="1"/>
  <c r="I23" i="4" s="1"/>
  <c r="I10" i="4" s="1"/>
  <c r="G9" i="19"/>
  <c r="G10" i="19" s="1"/>
  <c r="H23" i="4" s="1"/>
  <c r="H10" i="4" s="1"/>
  <c r="I9" i="19"/>
  <c r="I10" i="19" s="1"/>
  <c r="J23" i="4" s="1"/>
  <c r="J10" i="4" s="1"/>
  <c r="J9" i="19"/>
  <c r="J10" i="19" s="1"/>
  <c r="K23" i="4" s="1"/>
  <c r="K10" i="4" s="1"/>
  <c r="D9" i="19"/>
  <c r="D10" i="19" s="1"/>
  <c r="E23" i="4" s="1"/>
  <c r="E10" i="4" s="1"/>
  <c r="C9" i="19"/>
  <c r="C10" i="19" s="1"/>
  <c r="D23" i="4" s="1"/>
  <c r="D10" i="4" s="1"/>
  <c r="B9" i="19"/>
  <c r="B10" i="19" s="1"/>
  <c r="C23" i="4" s="1"/>
  <c r="C10" i="4" s="1"/>
  <c r="G12" i="7"/>
  <c r="B25" i="19"/>
  <c r="C13" i="4" s="1"/>
  <c r="E16" i="10"/>
  <c r="E17" i="10" s="1"/>
  <c r="A16" i="21"/>
  <c r="A15" i="21"/>
  <c r="A12" i="21"/>
  <c r="A8" i="21"/>
  <c r="A7" i="21"/>
  <c r="A5" i="21"/>
  <c r="A4" i="21"/>
  <c r="C24" i="18"/>
  <c r="K24" i="18"/>
  <c r="J24" i="18"/>
  <c r="I24" i="18"/>
  <c r="H24" i="18"/>
  <c r="G24" i="18"/>
  <c r="F24" i="18"/>
  <c r="E24" i="18"/>
  <c r="D24" i="18"/>
  <c r="I5" i="22" l="1"/>
  <c r="K12" i="7"/>
  <c r="I12" i="7"/>
  <c r="H12" i="7"/>
  <c r="E12" i="7"/>
  <c r="F12" i="7"/>
  <c r="D12" i="7"/>
  <c r="J12" i="7"/>
  <c r="C12" i="7"/>
  <c r="C22" i="19"/>
  <c r="C25" i="19" s="1"/>
  <c r="D13" i="4" s="1"/>
  <c r="E18" i="10"/>
  <c r="E19" i="10" s="1"/>
  <c r="E20" i="10" s="1"/>
  <c r="I41" i="7"/>
  <c r="J41" i="7"/>
  <c r="K41" i="7"/>
  <c r="J5" i="22" l="1"/>
  <c r="D22" i="19"/>
  <c r="D25" i="19" s="1"/>
  <c r="E13" i="4" s="1"/>
  <c r="D12" i="4"/>
  <c r="C13" i="7"/>
  <c r="C19" i="1"/>
  <c r="D42" i="4"/>
  <c r="D43" i="4" s="1"/>
  <c r="D8" i="4" s="1"/>
  <c r="K5" i="22" l="1"/>
  <c r="L5" i="22"/>
  <c r="D13" i="7"/>
  <c r="E12" i="4"/>
  <c r="E22" i="19"/>
  <c r="E25" i="19" s="1"/>
  <c r="F13" i="4" s="1"/>
  <c r="E42" i="4"/>
  <c r="E43" i="4" s="1"/>
  <c r="E8" i="4" s="1"/>
  <c r="F12" i="4" l="1"/>
  <c r="E13" i="7"/>
  <c r="F22" i="19"/>
  <c r="F25" i="19" s="1"/>
  <c r="G13" i="4" s="1"/>
  <c r="F42" i="4"/>
  <c r="F43" i="4" s="1"/>
  <c r="F8" i="4" s="1"/>
  <c r="G22" i="19" l="1"/>
  <c r="G25" i="19" s="1"/>
  <c r="H13" i="4" s="1"/>
  <c r="G12" i="4"/>
  <c r="F13" i="7"/>
  <c r="G42" i="4"/>
  <c r="G43" i="4" s="1"/>
  <c r="G8" i="4" s="1"/>
  <c r="G13" i="7" l="1"/>
  <c r="H12" i="4"/>
  <c r="H22" i="19"/>
  <c r="H25" i="19" s="1"/>
  <c r="I13" i="4" s="1"/>
  <c r="K24" i="7"/>
  <c r="K29" i="7" s="1"/>
  <c r="C9" i="18"/>
  <c r="E5" i="11"/>
  <c r="D7" i="11" s="1"/>
  <c r="J3" i="20"/>
  <c r="B3" i="20"/>
  <c r="H42" i="4"/>
  <c r="H43" i="4" s="1"/>
  <c r="H8" i="4" s="1"/>
  <c r="I22" i="19" l="1"/>
  <c r="I25" i="19" s="1"/>
  <c r="J13" i="4" s="1"/>
  <c r="I12" i="4"/>
  <c r="H13" i="7"/>
  <c r="I24" i="7"/>
  <c r="I29" i="7" s="1"/>
  <c r="G24" i="7"/>
  <c r="G29" i="7" s="1"/>
  <c r="D9" i="18"/>
  <c r="J24" i="7"/>
  <c r="J29" i="7" s="1"/>
  <c r="E9" i="18"/>
  <c r="H24" i="7"/>
  <c r="H29" i="7" s="1"/>
  <c r="C11" i="4"/>
  <c r="C14" i="4" s="1"/>
  <c r="C24" i="7"/>
  <c r="C29" i="7" s="1"/>
  <c r="G11" i="4"/>
  <c r="G14" i="4" s="1"/>
  <c r="G3" i="20"/>
  <c r="C3" i="20"/>
  <c r="D3" i="20"/>
  <c r="I3" i="20"/>
  <c r="H3" i="20"/>
  <c r="E3" i="20"/>
  <c r="F3" i="20"/>
  <c r="I42" i="4"/>
  <c r="I43" i="4" l="1"/>
  <c r="I8" i="4" s="1"/>
  <c r="J42" i="4"/>
  <c r="K42" i="4" s="1"/>
  <c r="J12" i="4"/>
  <c r="I13" i="7"/>
  <c r="J22" i="19"/>
  <c r="J25" i="19" s="1"/>
  <c r="K13" i="4" s="1"/>
  <c r="H11" i="4"/>
  <c r="H14" i="4" s="1"/>
  <c r="D11" i="4"/>
  <c r="D14" i="4" s="1"/>
  <c r="D24" i="7"/>
  <c r="D29" i="7" s="1"/>
  <c r="E11" i="4"/>
  <c r="E14" i="4" s="1"/>
  <c r="E24" i="7"/>
  <c r="E29" i="7" s="1"/>
  <c r="F11" i="4"/>
  <c r="F14" i="4" s="1"/>
  <c r="F24" i="7"/>
  <c r="F29" i="7" s="1"/>
  <c r="J43" i="4" l="1"/>
  <c r="J8" i="4" s="1"/>
  <c r="J11" i="4" s="1"/>
  <c r="J14" i="4" s="1"/>
  <c r="K13" i="7"/>
  <c r="I11" i="4"/>
  <c r="I14" i="4" s="1"/>
  <c r="K12" i="4"/>
  <c r="J13" i="7"/>
  <c r="K43" i="4"/>
  <c r="K8" i="4" s="1"/>
  <c r="C12" i="1"/>
  <c r="J29" i="4"/>
  <c r="K29" i="4"/>
  <c r="K14" i="18" s="1"/>
  <c r="J14" i="18" l="1"/>
  <c r="J46" i="7"/>
  <c r="K46" i="7"/>
  <c r="K11" i="4" l="1"/>
  <c r="K14" i="4" s="1"/>
  <c r="D9" i="11"/>
  <c r="C24" i="11" s="1"/>
  <c r="E9" i="11" l="1"/>
  <c r="E10" i="11" s="1"/>
  <c r="J48" i="7"/>
  <c r="K48" i="7"/>
  <c r="C12" i="10"/>
  <c r="C20" i="1"/>
  <c r="C16" i="1"/>
  <c r="F8" i="10"/>
  <c r="F7" i="10"/>
  <c r="E6" i="9"/>
  <c r="E11" i="9" s="1"/>
  <c r="E13" i="9" s="1"/>
  <c r="C9" i="1"/>
  <c r="C41" i="1" l="1"/>
  <c r="C8" i="2" s="1"/>
  <c r="D6" i="10"/>
  <c r="D12" i="10" s="1"/>
  <c r="D13" i="10" s="1"/>
  <c r="D14" i="10" s="1"/>
  <c r="D11" i="18"/>
  <c r="C7" i="15"/>
  <c r="E11" i="18"/>
  <c r="C13" i="10"/>
  <c r="C3" i="15"/>
  <c r="K6" i="12"/>
  <c r="E5" i="12"/>
  <c r="H6" i="12"/>
  <c r="E6" i="12"/>
  <c r="D6" i="12"/>
  <c r="F6" i="12"/>
  <c r="F5" i="12"/>
  <c r="G5" i="12"/>
  <c r="I6" i="12"/>
  <c r="C4" i="2" l="1"/>
  <c r="C18" i="7" s="1"/>
  <c r="B10" i="13"/>
  <c r="C10" i="7"/>
  <c r="F12" i="10"/>
  <c r="E13" i="11" s="1"/>
  <c r="F6" i="10"/>
  <c r="C33" i="4"/>
  <c r="F13" i="10"/>
  <c r="E14" i="9"/>
  <c r="F3" i="15"/>
  <c r="F11" i="18"/>
  <c r="C14" i="10"/>
  <c r="F14" i="10" s="1"/>
  <c r="C10" i="13"/>
  <c r="D33" i="4"/>
  <c r="D10" i="7"/>
  <c r="E3" i="15"/>
  <c r="D3" i="15"/>
  <c r="H5" i="12"/>
  <c r="J5" i="12"/>
  <c r="C6" i="12"/>
  <c r="J6" i="12"/>
  <c r="D5" i="12"/>
  <c r="I5" i="12"/>
  <c r="C5" i="12"/>
  <c r="G6" i="12"/>
  <c r="K5" i="12"/>
  <c r="D15" i="10"/>
  <c r="D16" i="10" s="1"/>
  <c r="D17" i="10" s="1"/>
  <c r="C6" i="2" l="1"/>
  <c r="B5" i="18"/>
  <c r="C26" i="11"/>
  <c r="E12" i="11"/>
  <c r="F9" i="10"/>
  <c r="E16" i="9"/>
  <c r="C16" i="4"/>
  <c r="C20" i="4" s="1"/>
  <c r="G11" i="18"/>
  <c r="E33" i="4"/>
  <c r="E10" i="7"/>
  <c r="D10" i="13"/>
  <c r="C15" i="10"/>
  <c r="D18" i="10"/>
  <c r="D4" i="14" l="1"/>
  <c r="D11" i="14" s="1"/>
  <c r="B6" i="18"/>
  <c r="B25" i="18" s="1"/>
  <c r="B7" i="18"/>
  <c r="B27" i="18" s="1"/>
  <c r="B28" i="18" s="1"/>
  <c r="C9" i="7"/>
  <c r="C11" i="7" s="1"/>
  <c r="D9" i="7" s="1"/>
  <c r="D11" i="7" s="1"/>
  <c r="D40" i="7" s="1"/>
  <c r="D16" i="4"/>
  <c r="D20" i="4" s="1"/>
  <c r="F15" i="10"/>
  <c r="F9" i="18"/>
  <c r="H11" i="18"/>
  <c r="G3" i="15"/>
  <c r="F10" i="7"/>
  <c r="E10" i="13"/>
  <c r="F33" i="4"/>
  <c r="C16" i="10"/>
  <c r="C17" i="10" s="1"/>
  <c r="D19" i="10"/>
  <c r="D20" i="10" s="1"/>
  <c r="C11" i="14" l="1"/>
  <c r="E11" i="14" s="1"/>
  <c r="C10" i="14"/>
  <c r="E10" i="14" s="1"/>
  <c r="C9" i="14"/>
  <c r="E9" i="14" s="1"/>
  <c r="D12" i="14"/>
  <c r="D13" i="14" s="1"/>
  <c r="B15" i="18"/>
  <c r="B21" i="18"/>
  <c r="C4" i="18" s="1"/>
  <c r="C25" i="18" s="1"/>
  <c r="C26" i="18" s="1"/>
  <c r="C40" i="7"/>
  <c r="E9" i="7"/>
  <c r="E11" i="7" s="1"/>
  <c r="E40" i="7" s="1"/>
  <c r="E16" i="4"/>
  <c r="E20" i="4" s="1"/>
  <c r="C12" i="14"/>
  <c r="D10" i="18"/>
  <c r="B30" i="18"/>
  <c r="B26" i="18"/>
  <c r="B31" i="18" s="1"/>
  <c r="F16" i="10"/>
  <c r="G9" i="18"/>
  <c r="I11" i="18"/>
  <c r="H3" i="15"/>
  <c r="G10" i="7"/>
  <c r="F10" i="13"/>
  <c r="G33" i="4"/>
  <c r="C18" i="10"/>
  <c r="H33" i="4"/>
  <c r="C20" i="18" l="1"/>
  <c r="C47" i="7"/>
  <c r="D14" i="14"/>
  <c r="D15" i="14" s="1"/>
  <c r="D16" i="14" s="1"/>
  <c r="D17" i="14" s="1"/>
  <c r="F9" i="7"/>
  <c r="F11" i="7" s="1"/>
  <c r="F40" i="7" s="1"/>
  <c r="F16" i="4"/>
  <c r="F20" i="4" s="1"/>
  <c r="E22" i="4"/>
  <c r="E12" i="14"/>
  <c r="E17" i="11" s="1"/>
  <c r="E18" i="11" s="1"/>
  <c r="C27" i="11" s="1"/>
  <c r="C28" i="11" s="1"/>
  <c r="C13" i="14"/>
  <c r="D12" i="18"/>
  <c r="E10" i="18"/>
  <c r="D22" i="4"/>
  <c r="D24" i="4" s="1"/>
  <c r="D49" i="7" s="1"/>
  <c r="F17" i="10"/>
  <c r="H9" i="18"/>
  <c r="J11" i="18"/>
  <c r="I3" i="15"/>
  <c r="H10" i="7"/>
  <c r="G10" i="13"/>
  <c r="C19" i="10"/>
  <c r="D47" i="7" l="1"/>
  <c r="D20" i="18"/>
  <c r="G9" i="7"/>
  <c r="G11" i="7" s="1"/>
  <c r="G40" i="7" s="1"/>
  <c r="D18" i="14"/>
  <c r="D19" i="14" s="1"/>
  <c r="D20" i="14" s="1"/>
  <c r="D21" i="14" s="1"/>
  <c r="E20" i="18"/>
  <c r="E12" i="18"/>
  <c r="G16" i="4"/>
  <c r="G20" i="4" s="1"/>
  <c r="F22" i="4"/>
  <c r="C27" i="4"/>
  <c r="C29" i="4" s="1"/>
  <c r="C14" i="18" s="1"/>
  <c r="E13" i="14"/>
  <c r="C22" i="7"/>
  <c r="C14" i="14"/>
  <c r="F10" i="18"/>
  <c r="C4" i="20"/>
  <c r="C5" i="20" s="1"/>
  <c r="C6" i="20" s="1"/>
  <c r="F18" i="10"/>
  <c r="E24" i="4"/>
  <c r="E49" i="7" s="1"/>
  <c r="D4" i="20"/>
  <c r="C20" i="10"/>
  <c r="F19" i="10"/>
  <c r="I9" i="18"/>
  <c r="K11" i="18"/>
  <c r="I10" i="7"/>
  <c r="I33" i="4"/>
  <c r="H10" i="13"/>
  <c r="I10" i="13"/>
  <c r="J10" i="7"/>
  <c r="J33" i="4"/>
  <c r="E47" i="7" l="1"/>
  <c r="H9" i="7"/>
  <c r="H11" i="7" s="1"/>
  <c r="H40" i="7" s="1"/>
  <c r="D22" i="14"/>
  <c r="D23" i="14" s="1"/>
  <c r="D24" i="14" s="1"/>
  <c r="D25" i="14" s="1"/>
  <c r="H16" i="4"/>
  <c r="H20" i="4" s="1"/>
  <c r="G22" i="4"/>
  <c r="F4" i="20" s="1"/>
  <c r="F5" i="20" s="1"/>
  <c r="F6" i="20" s="1"/>
  <c r="F12" i="18"/>
  <c r="C46" i="7"/>
  <c r="C48" i="7" s="1"/>
  <c r="C41" i="7"/>
  <c r="C42" i="7" s="1"/>
  <c r="C34" i="7"/>
  <c r="E14" i="14"/>
  <c r="C15" i="14"/>
  <c r="G10" i="18"/>
  <c r="F20" i="10"/>
  <c r="F24" i="4"/>
  <c r="F49" i="7" s="1"/>
  <c r="E4" i="20"/>
  <c r="E5" i="20" s="1"/>
  <c r="E6" i="20" s="1"/>
  <c r="D5" i="20"/>
  <c r="D6" i="20" s="1"/>
  <c r="K33" i="4"/>
  <c r="J10" i="13"/>
  <c r="J9" i="18"/>
  <c r="K9" i="18"/>
  <c r="K10" i="7"/>
  <c r="I9" i="7" l="1"/>
  <c r="I11" i="7" s="1"/>
  <c r="J9" i="7" s="1"/>
  <c r="J11" i="7" s="1"/>
  <c r="J40" i="7" s="1"/>
  <c r="F20" i="18"/>
  <c r="F47" i="7"/>
  <c r="D26" i="14"/>
  <c r="D27" i="14" s="1"/>
  <c r="D28" i="14" s="1"/>
  <c r="D29" i="14" s="1"/>
  <c r="G12" i="18"/>
  <c r="I16" i="4"/>
  <c r="I20" i="4" s="1"/>
  <c r="H12" i="18"/>
  <c r="E15" i="14"/>
  <c r="C16" i="14"/>
  <c r="H10" i="18"/>
  <c r="G24" i="4"/>
  <c r="G49" i="7" s="1"/>
  <c r="K9" i="7" l="1"/>
  <c r="K11" i="7" s="1"/>
  <c r="K40" i="7" s="1"/>
  <c r="I40" i="7"/>
  <c r="G20" i="18"/>
  <c r="G47" i="7"/>
  <c r="D30" i="14"/>
  <c r="H22" i="4"/>
  <c r="G4" i="20" s="1"/>
  <c r="G5" i="20" s="1"/>
  <c r="G6" i="20" s="1"/>
  <c r="J16" i="4"/>
  <c r="J20" i="4" s="1"/>
  <c r="I22" i="4"/>
  <c r="H4" i="20" s="1"/>
  <c r="H5" i="20" s="1"/>
  <c r="H6" i="20" s="1"/>
  <c r="E16" i="14"/>
  <c r="D27" i="4" s="1"/>
  <c r="D29" i="4" s="1"/>
  <c r="C17" i="14"/>
  <c r="I10" i="18"/>
  <c r="D31" i="14" l="1"/>
  <c r="I12" i="18"/>
  <c r="K16" i="4"/>
  <c r="K20" i="4" s="1"/>
  <c r="J22" i="4"/>
  <c r="I4" i="20" s="1"/>
  <c r="I5" i="20" s="1"/>
  <c r="I6" i="20" s="1"/>
  <c r="E17" i="14"/>
  <c r="D22" i="7"/>
  <c r="C18" i="14"/>
  <c r="D14" i="18"/>
  <c r="D46" i="7"/>
  <c r="D48" i="7" s="1"/>
  <c r="D50" i="7" s="1"/>
  <c r="D31" i="4"/>
  <c r="J10" i="18"/>
  <c r="H24" i="4"/>
  <c r="H49" i="7" s="1"/>
  <c r="D32" i="14" l="1"/>
  <c r="D33" i="14" s="1"/>
  <c r="J12" i="18"/>
  <c r="D34" i="4"/>
  <c r="C7" i="13"/>
  <c r="C9" i="13" s="1"/>
  <c r="C11" i="13" s="1"/>
  <c r="C13" i="13" s="1"/>
  <c r="C14" i="13" s="1"/>
  <c r="D35" i="4" s="1"/>
  <c r="D16" i="18" s="1"/>
  <c r="E18" i="14"/>
  <c r="C19" i="14"/>
  <c r="D34" i="7"/>
  <c r="D41" i="7"/>
  <c r="D42" i="7" s="1"/>
  <c r="K10" i="18"/>
  <c r="H47" i="7" l="1"/>
  <c r="H20" i="18"/>
  <c r="D34" i="14"/>
  <c r="D35" i="14" s="1"/>
  <c r="D36" i="14" s="1"/>
  <c r="E19" i="14"/>
  <c r="C20" i="14"/>
  <c r="C7" i="20"/>
  <c r="D36" i="4"/>
  <c r="D37" i="4" s="1"/>
  <c r="K12" i="18"/>
  <c r="K22" i="4"/>
  <c r="J4" i="20" s="1"/>
  <c r="J5" i="20" s="1"/>
  <c r="J6" i="20" s="1"/>
  <c r="I24" i="4"/>
  <c r="I49" i="7" s="1"/>
  <c r="I47" i="7" l="1"/>
  <c r="I20" i="18"/>
  <c r="D18" i="18"/>
  <c r="D27" i="18" s="1"/>
  <c r="D28" i="18" s="1"/>
  <c r="C8" i="20"/>
  <c r="E20" i="14"/>
  <c r="E27" i="4" s="1"/>
  <c r="E29" i="4" s="1"/>
  <c r="C21" i="14"/>
  <c r="D38" i="4" l="1"/>
  <c r="D19" i="7" s="1"/>
  <c r="E31" i="4"/>
  <c r="E46" i="7"/>
  <c r="E48" i="7" s="1"/>
  <c r="E50" i="7" s="1"/>
  <c r="E14" i="18"/>
  <c r="E21" i="14"/>
  <c r="C22" i="14"/>
  <c r="E22" i="7"/>
  <c r="E34" i="7" l="1"/>
  <c r="E41" i="7"/>
  <c r="E42" i="7" s="1"/>
  <c r="E22" i="14"/>
  <c r="C23" i="14"/>
  <c r="E34" i="4"/>
  <c r="D7" i="13"/>
  <c r="D9" i="13" s="1"/>
  <c r="D11" i="13" s="1"/>
  <c r="D13" i="13" s="1"/>
  <c r="D14" i="13" s="1"/>
  <c r="E35" i="4" s="1"/>
  <c r="E16" i="18" s="1"/>
  <c r="J24" i="4"/>
  <c r="J3" i="15"/>
  <c r="K3" i="15"/>
  <c r="D7" i="20" l="1"/>
  <c r="E36" i="4"/>
  <c r="E37" i="4" s="1"/>
  <c r="E23" i="14"/>
  <c r="C24" i="14"/>
  <c r="J31" i="4"/>
  <c r="J34" i="4" s="1"/>
  <c r="J49" i="7"/>
  <c r="K24" i="4"/>
  <c r="E24" i="14" l="1"/>
  <c r="F27" i="4" s="1"/>
  <c r="F29" i="4" s="1"/>
  <c r="C25" i="14"/>
  <c r="E18" i="18"/>
  <c r="E27" i="18" s="1"/>
  <c r="E28" i="18" s="1"/>
  <c r="D8" i="20"/>
  <c r="I7" i="20"/>
  <c r="I7" i="13"/>
  <c r="I9" i="13" s="1"/>
  <c r="I11" i="13" s="1"/>
  <c r="I13" i="13" s="1"/>
  <c r="I14" i="13" s="1"/>
  <c r="J35" i="4" s="1"/>
  <c r="J16" i="18" s="1"/>
  <c r="K31" i="4"/>
  <c r="K34" i="4" s="1"/>
  <c r="K49" i="7"/>
  <c r="E38" i="4" l="1"/>
  <c r="E19" i="7" s="1"/>
  <c r="F46" i="7"/>
  <c r="F48" i="7" s="1"/>
  <c r="F50" i="7" s="1"/>
  <c r="F31" i="4"/>
  <c r="F14" i="18"/>
  <c r="E25" i="14"/>
  <c r="F22" i="7"/>
  <c r="C26" i="14"/>
  <c r="J7" i="20"/>
  <c r="J36" i="4"/>
  <c r="J37" i="4" s="1"/>
  <c r="J7" i="13"/>
  <c r="J9" i="13" s="1"/>
  <c r="J11" i="13" s="1"/>
  <c r="J13" i="13" s="1"/>
  <c r="J14" i="13" s="1"/>
  <c r="K35" i="4" s="1"/>
  <c r="E26" i="14" l="1"/>
  <c r="C27" i="14"/>
  <c r="F34" i="7"/>
  <c r="F41" i="7"/>
  <c r="F42" i="7" s="1"/>
  <c r="F34" i="4"/>
  <c r="E7" i="13"/>
  <c r="E9" i="13" s="1"/>
  <c r="E11" i="13" s="1"/>
  <c r="E13" i="13" s="1"/>
  <c r="E14" i="13" s="1"/>
  <c r="F35" i="4" s="1"/>
  <c r="F16" i="18" s="1"/>
  <c r="J38" i="4"/>
  <c r="J19" i="7" s="1"/>
  <c r="I8" i="20"/>
  <c r="K36" i="4"/>
  <c r="K37" i="4" s="1"/>
  <c r="K16" i="18"/>
  <c r="C28" i="14" l="1"/>
  <c r="E27" i="14"/>
  <c r="E7" i="20"/>
  <c r="F36" i="4"/>
  <c r="F37" i="4" s="1"/>
  <c r="J18" i="18"/>
  <c r="J27" i="18" s="1"/>
  <c r="K38" i="4"/>
  <c r="K19" i="7" s="1"/>
  <c r="J8" i="20"/>
  <c r="F18" i="18" l="1"/>
  <c r="F27" i="18" s="1"/>
  <c r="F28" i="18" s="1"/>
  <c r="E8" i="20"/>
  <c r="C29" i="14"/>
  <c r="E28" i="14"/>
  <c r="G27" i="4" s="1"/>
  <c r="G29" i="4" s="1"/>
  <c r="G22" i="7"/>
  <c r="J28" i="18"/>
  <c r="K18" i="18"/>
  <c r="K27" i="18" s="1"/>
  <c r="F38" i="4" l="1"/>
  <c r="F19" i="7" s="1"/>
  <c r="G41" i="7"/>
  <c r="G42" i="7" s="1"/>
  <c r="G34" i="7"/>
  <c r="C30" i="14"/>
  <c r="E29" i="14"/>
  <c r="G14" i="18"/>
  <c r="G46" i="7"/>
  <c r="G48" i="7" s="1"/>
  <c r="G50" i="7" s="1"/>
  <c r="G31" i="4"/>
  <c r="K28" i="18"/>
  <c r="G34" i="4" l="1"/>
  <c r="F7" i="13"/>
  <c r="F9" i="13" s="1"/>
  <c r="F11" i="13" s="1"/>
  <c r="F13" i="13" s="1"/>
  <c r="F14" i="13" s="1"/>
  <c r="G35" i="4" s="1"/>
  <c r="G16" i="18" s="1"/>
  <c r="E30" i="14"/>
  <c r="C31" i="14"/>
  <c r="C32" i="14" l="1"/>
  <c r="E31" i="14"/>
  <c r="F7" i="20"/>
  <c r="G36" i="4"/>
  <c r="G37" i="4" s="1"/>
  <c r="G18" i="18" l="1"/>
  <c r="G27" i="18" s="1"/>
  <c r="G28" i="18" s="1"/>
  <c r="F8" i="20"/>
  <c r="C33" i="14"/>
  <c r="E32" i="14"/>
  <c r="H27" i="4" s="1"/>
  <c r="H29" i="4" s="1"/>
  <c r="H22" i="7"/>
  <c r="G38" i="4" l="1"/>
  <c r="G19" i="7" s="1"/>
  <c r="H46" i="7"/>
  <c r="H48" i="7" s="1"/>
  <c r="H50" i="7" s="1"/>
  <c r="H31" i="4"/>
  <c r="H14" i="18"/>
  <c r="H34" i="7"/>
  <c r="H41" i="7"/>
  <c r="F43" i="7" s="1"/>
  <c r="E33" i="14"/>
  <c r="C34" i="14"/>
  <c r="C35" i="14" l="1"/>
  <c r="E34" i="14"/>
  <c r="H34" i="4"/>
  <c r="G7" i="13"/>
  <c r="G9" i="13" s="1"/>
  <c r="G11" i="13" s="1"/>
  <c r="G13" i="13" s="1"/>
  <c r="G14" i="13" s="1"/>
  <c r="H35" i="4" s="1"/>
  <c r="H16" i="18" s="1"/>
  <c r="G7" i="20" l="1"/>
  <c r="H36" i="4"/>
  <c r="H37" i="4" s="1"/>
  <c r="C36" i="14"/>
  <c r="E36" i="14" s="1"/>
  <c r="E35" i="14"/>
  <c r="I27" i="4" l="1"/>
  <c r="I29" i="4" s="1"/>
  <c r="I14" i="18" s="1"/>
  <c r="H18" i="18"/>
  <c r="H27" i="18" s="1"/>
  <c r="H28" i="18" s="1"/>
  <c r="G8" i="20"/>
  <c r="I31" i="4" l="1"/>
  <c r="I34" i="4" s="1"/>
  <c r="I46" i="7"/>
  <c r="I48" i="7" s="1"/>
  <c r="H38" i="4"/>
  <c r="H19" i="7" s="1"/>
  <c r="H7" i="13" l="1"/>
  <c r="H9" i="13" s="1"/>
  <c r="H11" i="13" s="1"/>
  <c r="H13" i="13" s="1"/>
  <c r="H14" i="13" s="1"/>
  <c r="I35" i="4" s="1"/>
  <c r="I16" i="18" s="1"/>
  <c r="H7" i="20"/>
  <c r="I36" i="4" l="1"/>
  <c r="I37" i="4" s="1"/>
  <c r="H8" i="20" l="1"/>
  <c r="I18" i="18"/>
  <c r="I27" i="18" s="1"/>
  <c r="I28" i="18" s="1"/>
  <c r="I38" i="4"/>
  <c r="I19" i="7" s="1"/>
  <c r="C12" i="18"/>
  <c r="C15" i="18" s="1"/>
  <c r="C22" i="4"/>
  <c r="C24" i="4" l="1"/>
  <c r="B4" i="20"/>
  <c r="B5" i="20" s="1"/>
  <c r="B6" i="20" s="1"/>
  <c r="C49" i="7" l="1"/>
  <c r="C50" i="7" s="1"/>
  <c r="F51" i="7" s="1"/>
  <c r="C31" i="4"/>
  <c r="C34" i="4" s="1"/>
  <c r="B7" i="13" l="1"/>
  <c r="B9" i="13" s="1"/>
  <c r="B11" i="13" s="1"/>
  <c r="B13" i="13" s="1"/>
  <c r="B14" i="13" s="1"/>
  <c r="C35" i="4" s="1"/>
  <c r="C16" i="18" s="1"/>
  <c r="C17" i="18" l="1"/>
  <c r="C36" i="4"/>
  <c r="C37" i="4" s="1"/>
  <c r="B7" i="20"/>
  <c r="B8" i="20" l="1"/>
  <c r="C18" i="18" l="1"/>
  <c r="C27" i="18" s="1"/>
  <c r="C38"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<sst xmlns="http://schemas.openxmlformats.org/spreadsheetml/2006/main" count="443" uniqueCount="321">
  <si>
    <t>Annexure 1 - Estimated cost of the project</t>
  </si>
  <si>
    <t>Estimated cost of project</t>
  </si>
  <si>
    <t xml:space="preserve">Sr. No. </t>
  </si>
  <si>
    <t>Particulars</t>
  </si>
  <si>
    <t>Grand Total (in lakhs)</t>
  </si>
  <si>
    <t>(a)</t>
  </si>
  <si>
    <t>Land and site development</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</si>
  <si>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</si>
  <si>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</si>
  <si>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</si>
  <si>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</si>
  <si>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</si>
  <si>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</si>
  <si>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</si>
  <si>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</si>
  <si>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</si>
  <si>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</si>
  <si>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</si>
  <si>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</si>
  <si>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</si>
  <si>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</si>
  <si>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</si>
  <si>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</si>
  <si>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</si>
  <si>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</si>
  <si>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</si>
  <si>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</si>
  <si>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</si>
  <si>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</si>
  <si>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</si>
  <si>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</si>
  <si>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</si>
  <si>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</si>
  <si>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</si>
  <si>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</si>
  <si>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</si>
  <si>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</si>
  <si>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</si>
  <si>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</si>
  <si>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</si>
  <si>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</si>
  <si>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</si>
  <si>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</si>
  <si>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</si>
  <si>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</si>
  <si>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</si>
  <si>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</si>
  <si>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</si>
  <si>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</si>
  <si>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</si>
  <si>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</si>
  <si>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</si>
  <si>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</si>
  <si>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</si>
  <si>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</si>
  <si>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</si>
  <si>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</si>
  <si>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</si>
  <si>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</si>
  <si>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</si>
  <si>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</si>
  <si>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</si>
  <si>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</si>
  <si>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</si>
  <si>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</si>
  <si>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</si>
  <si>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</si>
  <si>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</si>
  <si>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</si>
  <si>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</si>
  <si>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</si>
  <si>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</si>
  <si>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</si>
  <si>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</si>
  <si>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</si>
  <si>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</si>
  <si>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</si>
  <si>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</si>
  <si>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</si>
  <si>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</si>
  <si>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</si>
  <si>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</si>
  <si>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</si>
  <si>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</si>
  <si>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</si>
  <si>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</si>
  <si>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</si>
  <si>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</si>
  <si>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</si>
  <si>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</si>
  <si>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</si>
  <si>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</si>
  <si>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</si>
  <si>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</si>
  <si>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</si>
  <si>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</si>
  <si>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</si>
  <si>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</si>
  <si>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</si>
  <si>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</si>
  <si>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</si>
  <si>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</si>
  <si>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</si>
  <si>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</si>
  <si>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</si>
  <si>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</si>
  <si>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</si>
  <si>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</si>
  <si>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</si>
  <si>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</si>
  <si>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</si>
  <si>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</si>
  <si>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</si>
  <si>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</si>
  <si>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</si>
  <si>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</si>
  <si>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</si>
  <si>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</si>
  <si>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</si>
  <si>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</si>
  <si>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</si>
  <si>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</si>
  <si>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</si>
  <si>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</si>
  <si>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</si>
  <si>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</si>
  <si>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</si>
  <si>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</si>
  <si>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</si>
  <si>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</si>
  <si>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</si>
  <si>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</si>
  <si>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</si>
  <si>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</si>
  <si>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</si>
  <si>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</si>
  <si>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</si>
  <si>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</si>
  <si>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</si>
  <si>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</si>
  <si>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</si>
  <si>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</si>
  <si>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</si>
  <si>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</si>
  <si>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</si>
  <si>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</si>
  <si>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</si>
  <si>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</si>
  <si>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</si>
  <si>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</si>
  <si>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</si>
  <si>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</si>
  <si>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</si>
  <si>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</si>
  <si>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</si>
  <si>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</si>
  <si>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</si>
  <si>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</si>
  <si>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</si>
  <si>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</si>
  <si>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</si>
  <si>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</si>
  <si>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</si>
  <si>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</si>
  <si>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</si>
  <si>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</si>
  <si>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</si>
  <si>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</si>
  <si>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</si>
  <si>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</si>
  <si>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</si>
  <si>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</si>
  <si>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</si>
  <si>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</si>
  <si>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</si>
  <si>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</si>
  <si>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</si>
  <si>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</si>
  <si>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</si>
  <si>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</si>
  <si>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</si>
  <si>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</si>
  <si>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</si>
  <si>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</si>
  <si>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</si>
  <si>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</si>
  <si>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</si>
  <si>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</si>
  <si>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</si>
  <si>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</si>
  <si>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</si>
  <si>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</si>
  <si>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</si>
  <si>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</si>
  <si>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</si>
  <si>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</si>
  <si>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</si>
  <si>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</si>
  <si>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</si>
  <si>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</si>
  <si>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</si>
  <si>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</si>
  <si>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</si>
  <si>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</si>
  <si>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</si>
  <si>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</si>
  <si>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</si>
  <si>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</si>
  <si>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</si>
  <si>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</si>
  <si>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</si>
  <si>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</si>
  <si>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</si>
  <si>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</si>
  <si>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</si>
  <si>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</si>
  <si>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</si>
  <si>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</si>
  <si>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</si>
  <si>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</si>
  <si>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</si>
  <si>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</si>
  <si>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</si>
  <si>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</si>
  <si>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</si>
  <si>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</si>
  <si>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</si>
  <si>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</si>
  <si>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</si>
  <si>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</si>
  <si>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</si>
  <si>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</si>
  <si>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</si>
  <si>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</si>
  <si>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</si>
  <si>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</si>
  <si>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</si>
  <si>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</si>
  <si>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</si>
  <si>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</si>
  <si>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</si>
  <si>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</si>
  <si>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</si>
  <si>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</si>
  <si>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</si>
  <si>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</si>
  <si>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</si>
  <si>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</si>
  <si>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3. Miscellanoeus Fixed Asset</t>
  </si>
  <si>
    <t>Civil work for building</t>
  </si>
  <si>
    <t>Accountant cum cashier</t>
  </si>
  <si>
    <t>Labour</t>
  </si>
  <si>
    <t>Insurance cost @ 2% of purchase cost</t>
  </si>
  <si>
    <t>It is assumed that insuarance cost is 2% of purchase price and this will increase 5% annually</t>
  </si>
  <si>
    <t>Add: Opening Stock</t>
  </si>
  <si>
    <t>Less: Closing Stock</t>
  </si>
  <si>
    <t>Operational days</t>
  </si>
  <si>
    <t>purchase price per kg</t>
  </si>
  <si>
    <t>sales prices per kg</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</si>
  <si>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</si>
  <si>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</si>
  <si>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</si>
  <si>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</si>
  <si>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</si>
  <si>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</si>
  <si>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</si>
  <si>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</si>
  <si>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</si>
  <si>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</si>
  <si>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Own produce (kgs)</t>
  </si>
  <si>
    <t>Revenue from sale of own produce</t>
  </si>
  <si>
    <t>Total revenue</t>
  </si>
  <si>
    <t>Production capacity (kgs)</t>
  </si>
  <si>
    <t>Total Financial expense</t>
  </si>
  <si>
    <t>Variable costs</t>
  </si>
  <si>
    <t>Electricity cost</t>
  </si>
  <si>
    <t>Interest on working capital</t>
  </si>
  <si>
    <t>Contribution per unit</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</si>
  <si>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</si>
  <si>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</si>
  <si>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</si>
  <si>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</si>
  <si>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Processing charges for grain</t>
  </si>
  <si>
    <t>Input wheat grain cost</t>
  </si>
  <si>
    <t>Consumer produce (kgs)</t>
  </si>
  <si>
    <t>Revenue from processing consumer  produce</t>
  </si>
  <si>
    <t>300 days</t>
  </si>
  <si>
    <t>It is assumed that 2/3rd capacity of flour mill is used to process own produce, i.e., to process wheat grains into flour which is further sold by mill in the market. The balance 1/3rd capacity is used to process the the consumer produce, for processing the wheat grain brought by the consumer for processing.</t>
  </si>
  <si>
    <t>In case of processing own produce, wheat grains is procured from farmers and processed for selling. While for government produce, wheat grains are provided to mill for further processing and only processing charges are taken for such work.</t>
  </si>
  <si>
    <t>4. Closing stock is valued at Rs 20 (avg cost)</t>
  </si>
  <si>
    <t>Sales price per kg is Rs. 22 (considering single type of output flour) which will increase 10% annually</t>
  </si>
  <si>
    <t>Land</t>
  </si>
  <si>
    <t>Total Project cost</t>
  </si>
  <si>
    <t>Annexure 14 - Cash flow statement</t>
  </si>
  <si>
    <t>Ann 14'!A1</t>
  </si>
  <si>
    <t xml:space="preserve">Vibrio separator </t>
  </si>
  <si>
    <t>Vibrio destoner</t>
  </si>
  <si>
    <t>Gravity separator</t>
  </si>
  <si>
    <t>Bucket and belt elevators</t>
  </si>
  <si>
    <t>Pneumatic system</t>
  </si>
  <si>
    <t>Flour mills</t>
  </si>
  <si>
    <t>Storage tanks of capacity upto 20 tons</t>
  </si>
  <si>
    <t>Atta storage silo</t>
  </si>
  <si>
    <t>Form fill and seal machine</t>
  </si>
  <si>
    <t>iv.</t>
  </si>
  <si>
    <t>Security</t>
  </si>
  <si>
    <t>Add: benefits @ 20%</t>
  </si>
  <si>
    <t>Insurance</t>
  </si>
  <si>
    <t>1. Electricity are semi-fixed cost. Rs. 250,000 pa is fixed, balance is variable at Rs. 14 per unit usage</t>
  </si>
  <si>
    <t>Electricity are semi-fixed cost. Rs. 250,000 pa is fixed, balance is variable at Rs. 14 per unit usage</t>
  </si>
  <si>
    <t>Running and Manintenance expense @20% of sales</t>
  </si>
  <si>
    <t>Production is 4 ton per hour</t>
  </si>
  <si>
    <t>Packing expense @ Rs. 0.3 per kg</t>
  </si>
  <si>
    <t>5. It is assumed that 10% of input gets wasted in production and 5% increase in selling price</t>
  </si>
  <si>
    <t>Mechanic cum operator</t>
  </si>
  <si>
    <t>v.</t>
  </si>
  <si>
    <t>Manager</t>
  </si>
  <si>
    <t>Office expense - fixed cost</t>
  </si>
  <si>
    <t>Fixed office charges</t>
  </si>
  <si>
    <t>selling expense @ Re. 1.5 per kg</t>
  </si>
  <si>
    <t>For the first year of operation the break-even capacity comes at 48.95% capacity, it is because of the fact that in the Initial year the fixed expense of consultancy for project is taken in to consideration for calculation of BEP. considering our operational capacity in year 1 to be 60%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</si>
</sst>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9">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43" fontId="6" fillId="0" borderId="4" xfId="0" applyNumberFormat="1" applyFont="1" applyBorder="1"/>
    <xf numFmtId="0" fontId="6"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164" fontId="6" fillId="0" borderId="0" xfId="0" applyNumberFormat="1" applyFont="1"/>
    <xf numFmtId="164" fontId="6" fillId="3" borderId="4" xfId="1" applyNumberFormat="1" applyFont="1" applyFill="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43" fontId="6" fillId="0" borderId="10" xfId="1" applyFont="1" applyBorder="1"/>
    <xf numFmtId="0" fontId="8" fillId="0" borderId="0" xfId="0" applyFont="1"/>
    <xf numFmtId="0" fontId="6" fillId="0" borderId="1" xfId="0" applyFont="1" applyFill="1" applyBorder="1"/>
    <xf numFmtId="164" fontId="6" fillId="0" borderId="1" xfId="1" applyNumberFormat="1" applyFont="1" applyBorder="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8" fillId="3" borderId="0" xfId="0" applyFont="1" applyFill="1"/>
    <xf numFmtId="0" fontId="6"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167" fontId="6" fillId="0" borderId="1" xfId="0" applyNumberFormat="1" applyFont="1" applyBorder="1"/>
    <xf numFmtId="0" fontId="6" fillId="3" borderId="1" xfId="0" applyFont="1" applyFill="1" applyBorder="1" applyAlignment="1">
      <alignment horizontal="center"/>
    </xf>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0" fontId="6" fillId="0" borderId="0" xfId="0"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1" xfId="0" applyFont="1" applyFill="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0" fontId="6" fillId="0" borderId="1" xfId="0" applyFont="1" applyFill="1" applyBorder="1" applyAlignment="1">
      <alignment vertical="top"/>
    </xf>
    <xf numFmtId="0" fontId="6" fillId="0" borderId="1" xfId="0" applyFont="1" applyBorder="1" applyAlignment="1">
      <alignment horizontal="center"/>
    </xf>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0" fontId="6" fillId="3" borderId="6" xfId="0" applyFont="1" applyFill="1" applyBorder="1"/>
    <xf numFmtId="0" fontId="5" fillId="0" borderId="1" xfId="0" applyFont="1" applyBorder="1"/>
    <xf numFmtId="9" fontId="5" fillId="0" borderId="1" xfId="0" applyNumberFormat="1" applyFont="1" applyBorder="1"/>
    <xf numFmtId="0" fontId="5" fillId="3" borderId="8" xfId="0" applyFont="1" applyFill="1" applyBorder="1"/>
    <xf numFmtId="0" fontId="5" fillId="3" borderId="0" xfId="0" applyFont="1" applyFill="1" applyBorder="1"/>
    <xf numFmtId="0" fontId="5" fillId="3" borderId="11" xfId="0" applyFont="1" applyFill="1" applyBorder="1"/>
    <xf numFmtId="0" fontId="5" fillId="3" borderId="9" xfId="0" applyFont="1" applyFill="1" applyBorder="1"/>
    <xf numFmtId="164" fontId="5" fillId="3" borderId="9" xfId="0" applyNumberFormat="1" applyFont="1" applyFill="1" applyBorder="1"/>
    <xf numFmtId="0" fontId="5" fillId="3" borderId="1" xfId="0" applyFont="1" applyFill="1" applyBorder="1" applyAlignment="1">
      <alignment horizontal="center"/>
    </xf>
    <xf numFmtId="0" fontId="6" fillId="0" borderId="0" xfId="0" applyFont="1" applyBorder="1" applyAlignment="1">
      <alignment vertical="center" wrapText="1"/>
    </xf>
    <xf numFmtId="164" fontId="5" fillId="0" borderId="0" xfId="0" applyNumberFormat="1" applyFont="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0" fontId="5" fillId="3" borderId="3" xfId="0" applyFont="1" applyFill="1" applyBorder="1" applyAlignment="1">
      <alignment horizont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3" borderId="1" xfId="0" applyFont="1" applyFill="1" applyBorder="1" applyAlignment="1">
      <alignment horizontal="center"/>
    </xf>
    <xf numFmtId="0" fontId="6" fillId="0" borderId="0" xfId="0" applyFont="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200</v>
      </c>
    </row>
    <row r="3" spans="1:2" x14ac:dyDescent="0.6">
      <c r="A3" s="10" t="s">
        <v>201</v>
      </c>
      <c r="B3" s="10" t="s">
        <v>202</v>
      </c>
    </row>
    <row r="4" spans="1:2" x14ac:dyDescent="0.6">
      <c r="A4" s="7" t="str">
        <f>'[1]Ann 1'!A3</f>
        <v>Annexure 1 - Estimated cost of the project</v>
      </c>
      <c r="B4" s="8" t="s">
        <v>203</v>
      </c>
    </row>
    <row r="5" spans="1:2" x14ac:dyDescent="0.6">
      <c r="A5" s="7" t="str">
        <f>'[1]Ann 2'!A1</f>
        <v>Annexure 2 - Means of Finance</v>
      </c>
      <c r="B5" s="8" t="s">
        <v>204</v>
      </c>
    </row>
    <row r="6" spans="1:2" x14ac:dyDescent="0.6">
      <c r="A6" s="7" t="str">
        <f>'Ann 3'!A1</f>
        <v>Annexure 3 - Complete Estimate of Civil and Plant and Machinery</v>
      </c>
      <c r="B6" s="8" t="s">
        <v>219</v>
      </c>
    </row>
    <row r="7" spans="1:2" x14ac:dyDescent="0.6">
      <c r="A7" s="7" t="str">
        <f>'[1]Ann 4'!A1</f>
        <v>Annexure 4 - Estimated Cost of Production</v>
      </c>
      <c r="B7" s="8" t="s">
        <v>205</v>
      </c>
    </row>
    <row r="8" spans="1:2" x14ac:dyDescent="0.6">
      <c r="A8" s="7" t="str">
        <f>'[1]Ann 5'!A1</f>
        <v>Annexure 5- Projected balance sheet</v>
      </c>
      <c r="B8" s="8" t="s">
        <v>206</v>
      </c>
    </row>
    <row r="9" spans="1:2" x14ac:dyDescent="0.6">
      <c r="A9" s="7" t="str">
        <f>'Ann 8'!A1</f>
        <v>Annexure 8 - Details of Mnpower</v>
      </c>
      <c r="B9" s="8" t="s">
        <v>207</v>
      </c>
    </row>
    <row r="10" spans="1:2" x14ac:dyDescent="0.6">
      <c r="A10" s="7" t="str">
        <f>'Ann 9'!A1</f>
        <v>Annexure 9 - Computation of Depreciation</v>
      </c>
      <c r="B10" s="8" t="s">
        <v>208</v>
      </c>
    </row>
    <row r="11" spans="1:2" x14ac:dyDescent="0.6">
      <c r="A11" s="7" t="str">
        <f>'Ann 10'!A1</f>
        <v>Annexure 10 - Calculation of Income tax</v>
      </c>
      <c r="B11" s="8" t="s">
        <v>209</v>
      </c>
    </row>
    <row r="12" spans="1:2" x14ac:dyDescent="0.6">
      <c r="A12" s="7" t="str">
        <f>'[1]Ann 11'!A1</f>
        <v>Annexure 11- Break even analysis (At maximum capacity utilization)</v>
      </c>
      <c r="B12" s="8" t="s">
        <v>210</v>
      </c>
    </row>
    <row r="13" spans="1:2" x14ac:dyDescent="0.6">
      <c r="A13" s="7" t="str">
        <f>'Ann 13'!A1</f>
        <v>Annexure 13 - Repayment schedule</v>
      </c>
      <c r="B13" s="8" t="s">
        <v>211</v>
      </c>
    </row>
    <row r="14" spans="1:2" x14ac:dyDescent="0.6">
      <c r="A14" s="7" t="str">
        <f>'Ann 14'!A1</f>
        <v>Annexure 14 - Cash flow statement</v>
      </c>
      <c r="B14" s="8" t="s">
        <v>294</v>
      </c>
    </row>
    <row r="15" spans="1:2" x14ac:dyDescent="0.6">
      <c r="A15" s="7" t="str">
        <f>[1]Assumptions!B1</f>
        <v>Assumptions</v>
      </c>
      <c r="B15" s="9" t="s">
        <v>212</v>
      </c>
    </row>
    <row r="16" spans="1:2" x14ac:dyDescent="0.6">
      <c r="A16" s="7" t="str">
        <f>[1]Budgets!A1</f>
        <v>Sales Budget</v>
      </c>
      <c r="B16" s="9" t="s">
        <v>213</v>
      </c>
    </row>
  </sheetData>
  <hyperlinks>
    <hyperlink ref="B4" location="'Ann 1'!A1" display="Ann 1'!A1" xr:uid="{8392AB6D-212E-479A-A76E-720E2C0CDF1A}"/>
    <hyperlink ref="B5" location="'Ann 2'!A1" display="Ann 2'!A1" xr:uid="{B4E13D04-8C42-46A6-BAFD-20DB089CE0CE}"/>
    <hyperlink ref="B7" location="'Ann 4'!A1" display="Ann 4'!A1" xr:uid="{13CD8BC8-123F-4B27-B558-7700BF617505}"/>
    <hyperlink ref="B8" location="'Ann 5'!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89DE0969-0CB0-4FC6-9B48-FD1E5826E94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heetViews>
  <sheetFormatPr defaultRowHeight="17" x14ac:dyDescent="0.6"/>
  <cols>
    <col min="1" max="1" width="20.90625" style="6" customWidth="1"/>
    <col min="2" max="10" width="13.6328125" style="6" bestFit="1" customWidth="1"/>
    <col min="11" max="16384" width="8.7265625" style="6"/>
  </cols>
  <sheetData>
    <row r="1" spans="1:10" x14ac:dyDescent="0.6">
      <c r="A1" s="5" t="s">
        <v>104</v>
      </c>
    </row>
    <row r="3" spans="1:10" x14ac:dyDescent="0.6">
      <c r="A3" s="70" t="s">
        <v>105</v>
      </c>
    </row>
    <row r="5" spans="1:10" x14ac:dyDescent="0.6">
      <c r="A5" s="132" t="s">
        <v>3</v>
      </c>
      <c r="B5" s="132" t="s">
        <v>47</v>
      </c>
      <c r="C5" s="132"/>
      <c r="D5" s="132"/>
      <c r="E5" s="132"/>
      <c r="F5" s="132"/>
      <c r="G5" s="132"/>
      <c r="H5" s="132"/>
      <c r="I5" s="132"/>
      <c r="J5" s="132"/>
    </row>
    <row r="6" spans="1:10" x14ac:dyDescent="0.6">
      <c r="A6" s="132"/>
      <c r="B6" s="27" t="s">
        <v>38</v>
      </c>
      <c r="C6" s="27" t="s">
        <v>39</v>
      </c>
      <c r="D6" s="27" t="s">
        <v>40</v>
      </c>
      <c r="E6" s="27" t="s">
        <v>41</v>
      </c>
      <c r="F6" s="27" t="s">
        <v>42</v>
      </c>
      <c r="G6" s="27" t="s">
        <v>43</v>
      </c>
      <c r="H6" s="27" t="s">
        <v>44</v>
      </c>
      <c r="I6" s="27" t="s">
        <v>45</v>
      </c>
      <c r="J6" s="27" t="s">
        <v>46</v>
      </c>
    </row>
    <row r="7" spans="1:10" x14ac:dyDescent="0.6">
      <c r="A7" s="7" t="s">
        <v>106</v>
      </c>
      <c r="B7" s="72">
        <f>'Ann 4'!C31</f>
        <v>8156770.076923077</v>
      </c>
      <c r="C7" s="72">
        <f>'Ann 4'!D31</f>
        <v>13118549.526923079</v>
      </c>
      <c r="D7" s="72">
        <f>'Ann 4'!E31</f>
        <v>14612847.407692317</v>
      </c>
      <c r="E7" s="72">
        <f>'Ann 4'!F31</f>
        <v>16089748.888461547</v>
      </c>
      <c r="F7" s="72">
        <f>'Ann 4'!G31</f>
        <v>17548384.149230778</v>
      </c>
      <c r="G7" s="72">
        <f>'Ann 4'!H31</f>
        <v>17013663.878999978</v>
      </c>
      <c r="H7" s="72">
        <f>'Ann 4'!I31</f>
        <v>18316853.101219252</v>
      </c>
      <c r="I7" s="72">
        <f>'Ann 4'!J31</f>
        <v>19546108.428972512</v>
      </c>
      <c r="J7" s="72">
        <f>'Ann 4'!K31</f>
        <v>20665180.282921135</v>
      </c>
    </row>
    <row r="8" spans="1:10" x14ac:dyDescent="0.6">
      <c r="A8" s="7" t="s">
        <v>107</v>
      </c>
      <c r="B8" s="72">
        <v>0</v>
      </c>
      <c r="C8" s="72">
        <v>0</v>
      </c>
      <c r="D8" s="72">
        <v>0</v>
      </c>
      <c r="E8" s="72">
        <v>0</v>
      </c>
      <c r="F8" s="72">
        <v>0</v>
      </c>
      <c r="G8" s="72">
        <v>0</v>
      </c>
      <c r="H8" s="72">
        <v>0</v>
      </c>
      <c r="I8" s="72">
        <v>0</v>
      </c>
      <c r="J8" s="72">
        <v>0</v>
      </c>
    </row>
    <row r="9" spans="1:10" x14ac:dyDescent="0.6">
      <c r="A9" s="7" t="s">
        <v>108</v>
      </c>
      <c r="B9" s="72">
        <f>B7+B8</f>
        <v>8156770.076923077</v>
      </c>
      <c r="C9" s="72">
        <f t="shared" ref="C9:J9" si="0">C7+C8</f>
        <v>13118549.526923079</v>
      </c>
      <c r="D9" s="72">
        <f t="shared" si="0"/>
        <v>14612847.407692317</v>
      </c>
      <c r="E9" s="72">
        <f t="shared" si="0"/>
        <v>16089748.888461547</v>
      </c>
      <c r="F9" s="72">
        <f t="shared" si="0"/>
        <v>17548384.149230778</v>
      </c>
      <c r="G9" s="72">
        <f t="shared" si="0"/>
        <v>17013663.878999978</v>
      </c>
      <c r="H9" s="72">
        <f t="shared" si="0"/>
        <v>18316853.101219252</v>
      </c>
      <c r="I9" s="72">
        <f t="shared" si="0"/>
        <v>19546108.428972512</v>
      </c>
      <c r="J9" s="72">
        <f t="shared" si="0"/>
        <v>20665180.282921135</v>
      </c>
    </row>
    <row r="10" spans="1:10" x14ac:dyDescent="0.6">
      <c r="A10" s="7" t="s">
        <v>109</v>
      </c>
      <c r="B10" s="72">
        <f>SUM('Ann 9'!C12:E12)</f>
        <v>2440000</v>
      </c>
      <c r="C10" s="72">
        <f>SUM('Ann 9'!C13:E13)</f>
        <v>2091000</v>
      </c>
      <c r="D10" s="72">
        <f>SUM('Ann 9'!C14:E14)</f>
        <v>1792650</v>
      </c>
      <c r="E10" s="72">
        <f>SUM('Ann 9'!C15:E15)</f>
        <v>1537522.5</v>
      </c>
      <c r="F10" s="72">
        <f>SUM('Ann 9'!C16:E16)</f>
        <v>1319287.125</v>
      </c>
      <c r="G10" s="72">
        <f>SUM('Ann 9'!C17:E17)</f>
        <v>1132547.7562500001</v>
      </c>
      <c r="H10" s="72">
        <f>SUM('Ann 9'!C18:E18)</f>
        <v>972703.92281249992</v>
      </c>
      <c r="I10" s="72">
        <f>SUM('Ann 9'!C19:E19)</f>
        <v>835832.83139062498</v>
      </c>
      <c r="J10" s="72">
        <f>SUM('Ann 9'!C20:E20)</f>
        <v>718588.95398203132</v>
      </c>
    </row>
    <row r="11" spans="1:10" x14ac:dyDescent="0.6">
      <c r="A11" s="7" t="s">
        <v>108</v>
      </c>
      <c r="B11" s="72">
        <f>B9-B10</f>
        <v>5716770.076923077</v>
      </c>
      <c r="C11" s="72">
        <f t="shared" ref="C11:J11" si="1">C9-C10</f>
        <v>11027549.526923079</v>
      </c>
      <c r="D11" s="72">
        <f t="shared" si="1"/>
        <v>12820197.407692317</v>
      </c>
      <c r="E11" s="72">
        <f t="shared" si="1"/>
        <v>14552226.388461547</v>
      </c>
      <c r="F11" s="72">
        <f t="shared" si="1"/>
        <v>16229097.024230778</v>
      </c>
      <c r="G11" s="72">
        <f t="shared" si="1"/>
        <v>15881116.122749979</v>
      </c>
      <c r="H11" s="72">
        <f t="shared" si="1"/>
        <v>17344149.178406753</v>
      </c>
      <c r="I11" s="72">
        <f t="shared" si="1"/>
        <v>18710275.597581886</v>
      </c>
      <c r="J11" s="72">
        <f t="shared" si="1"/>
        <v>19946591.328939103</v>
      </c>
    </row>
    <row r="12" spans="1:10" x14ac:dyDescent="0.6">
      <c r="A12" s="7" t="s">
        <v>110</v>
      </c>
      <c r="B12" s="84">
        <v>0</v>
      </c>
      <c r="C12" s="84">
        <v>0</v>
      </c>
      <c r="D12" s="84">
        <v>0</v>
      </c>
      <c r="E12" s="84">
        <v>0</v>
      </c>
      <c r="F12" s="84">
        <v>0</v>
      </c>
      <c r="G12" s="84">
        <v>0</v>
      </c>
      <c r="H12" s="84">
        <v>0</v>
      </c>
      <c r="I12" s="84">
        <v>0</v>
      </c>
      <c r="J12" s="84">
        <v>0</v>
      </c>
    </row>
    <row r="13" spans="1:10" x14ac:dyDescent="0.6">
      <c r="A13" s="7" t="s">
        <v>111</v>
      </c>
      <c r="B13" s="73">
        <f>B11</f>
        <v>5716770.076923077</v>
      </c>
      <c r="C13" s="73">
        <f t="shared" ref="C13:J13" si="2">C11</f>
        <v>11027549.526923079</v>
      </c>
      <c r="D13" s="73">
        <f t="shared" si="2"/>
        <v>12820197.407692317</v>
      </c>
      <c r="E13" s="73">
        <f t="shared" si="2"/>
        <v>14552226.388461547</v>
      </c>
      <c r="F13" s="73">
        <f t="shared" si="2"/>
        <v>16229097.024230778</v>
      </c>
      <c r="G13" s="73">
        <f t="shared" si="2"/>
        <v>15881116.122749979</v>
      </c>
      <c r="H13" s="73">
        <f t="shared" si="2"/>
        <v>17344149.178406753</v>
      </c>
      <c r="I13" s="73">
        <f t="shared" si="2"/>
        <v>18710275.597581886</v>
      </c>
      <c r="J13" s="73">
        <f t="shared" si="2"/>
        <v>19946591.328939103</v>
      </c>
    </row>
    <row r="14" spans="1:10" x14ac:dyDescent="0.6">
      <c r="A14" s="7" t="s">
        <v>112</v>
      </c>
      <c r="B14" s="73">
        <f>B13*30%</f>
        <v>1715031.0230769231</v>
      </c>
      <c r="C14" s="73">
        <f t="shared" ref="C14:J14" si="3">C13*30%</f>
        <v>3308264.8580769235</v>
      </c>
      <c r="D14" s="73">
        <f t="shared" si="3"/>
        <v>3846059.2223076951</v>
      </c>
      <c r="E14" s="73">
        <f t="shared" si="3"/>
        <v>4365667.9165384639</v>
      </c>
      <c r="F14" s="73">
        <f t="shared" si="3"/>
        <v>4868729.1072692331</v>
      </c>
      <c r="G14" s="73">
        <f t="shared" si="3"/>
        <v>4764334.8368249936</v>
      </c>
      <c r="H14" s="73">
        <f t="shared" si="3"/>
        <v>5203244.7535220254</v>
      </c>
      <c r="I14" s="73">
        <f t="shared" si="3"/>
        <v>5613082.6792745655</v>
      </c>
      <c r="J14" s="73">
        <f t="shared" si="3"/>
        <v>5983977.398681731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1"/>
  <sheetViews>
    <sheetView topLeftCell="A18" workbookViewId="0">
      <selection activeCell="E16" sqref="E16"/>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69</v>
      </c>
    </row>
    <row r="3" spans="1:7" x14ac:dyDescent="0.6">
      <c r="A3" s="85" t="s">
        <v>70</v>
      </c>
      <c r="B3" s="86"/>
      <c r="C3" s="86"/>
      <c r="D3" s="86"/>
      <c r="E3" s="86"/>
    </row>
    <row r="5" spans="1:7" x14ac:dyDescent="0.6">
      <c r="B5" s="6" t="s">
        <v>49</v>
      </c>
      <c r="E5" s="87">
        <f>'Ann 4'!C23/70%</f>
        <v>106381542.85714287</v>
      </c>
    </row>
    <row r="6" spans="1:7" x14ac:dyDescent="0.6">
      <c r="B6" s="6" t="s">
        <v>71</v>
      </c>
    </row>
    <row r="7" spans="1:7" x14ac:dyDescent="0.6">
      <c r="B7" s="88" t="s">
        <v>72</v>
      </c>
      <c r="D7" s="52">
        <f>E5*10%</f>
        <v>10638154.285714287</v>
      </c>
    </row>
    <row r="8" spans="1:7" x14ac:dyDescent="0.6">
      <c r="B8" s="88" t="s">
        <v>73</v>
      </c>
      <c r="D8" s="52">
        <f>'Ann 2'!C7*100000*10%</f>
        <v>500000</v>
      </c>
      <c r="E8" s="52"/>
    </row>
    <row r="9" spans="1:7" x14ac:dyDescent="0.6">
      <c r="B9" s="88" t="s">
        <v>76</v>
      </c>
      <c r="D9" s="52">
        <f>'Ann 4'!K43</f>
        <v>1654750.0970437503</v>
      </c>
      <c r="E9" s="52">
        <f>SUM(D7:D9)</f>
        <v>12792904.382758038</v>
      </c>
      <c r="G9" s="19"/>
    </row>
    <row r="10" spans="1:7" x14ac:dyDescent="0.6">
      <c r="B10" s="6" t="s">
        <v>74</v>
      </c>
      <c r="E10" s="52">
        <f>E5-E9</f>
        <v>93588638.474384829</v>
      </c>
    </row>
    <row r="11" spans="1:7" x14ac:dyDescent="0.6">
      <c r="B11" s="6" t="s">
        <v>245</v>
      </c>
    </row>
    <row r="12" spans="1:7" x14ac:dyDescent="0.6">
      <c r="B12" s="6" t="s">
        <v>75</v>
      </c>
      <c r="E12" s="52">
        <f>'Ann 8'!E14</f>
        <v>5227200</v>
      </c>
    </row>
    <row r="13" spans="1:7" x14ac:dyDescent="0.6">
      <c r="B13" s="6" t="s">
        <v>77</v>
      </c>
      <c r="E13" s="52">
        <f>'Ann 9'!F12</f>
        <v>2440000</v>
      </c>
    </row>
    <row r="14" spans="1:7" x14ac:dyDescent="0.6">
      <c r="B14" s="6" t="s">
        <v>307</v>
      </c>
      <c r="E14" s="52">
        <f>'Ann 4'!C9</f>
        <v>280000</v>
      </c>
    </row>
    <row r="15" spans="1:7" x14ac:dyDescent="0.6">
      <c r="B15" s="6" t="s">
        <v>243</v>
      </c>
      <c r="E15" s="52">
        <v>250000</v>
      </c>
    </row>
    <row r="16" spans="1:7" x14ac:dyDescent="0.6">
      <c r="B16" s="6" t="s">
        <v>318</v>
      </c>
      <c r="E16" s="52">
        <v>500000</v>
      </c>
    </row>
    <row r="17" spans="1:5" x14ac:dyDescent="0.6">
      <c r="B17" s="6" t="s">
        <v>196</v>
      </c>
      <c r="E17" s="52">
        <f>SUM('Ann 13'!E9:E12)*100000</f>
        <v>906201.92307692312</v>
      </c>
    </row>
    <row r="18" spans="1:5" s="5" customFormat="1" x14ac:dyDescent="0.6">
      <c r="B18" s="5" t="s">
        <v>78</v>
      </c>
      <c r="E18" s="125">
        <f>SUM(E12:E17)</f>
        <v>9603401.9230769239</v>
      </c>
    </row>
    <row r="20" spans="1:5" s="5" customFormat="1" x14ac:dyDescent="0.6">
      <c r="B20" s="10" t="s">
        <v>3</v>
      </c>
      <c r="C20" s="10" t="s">
        <v>246</v>
      </c>
    </row>
    <row r="21" spans="1:5" x14ac:dyDescent="0.6">
      <c r="B21" s="7" t="s">
        <v>79</v>
      </c>
      <c r="C21" s="7">
        <f>Budgets!C18</f>
        <v>21</v>
      </c>
    </row>
    <row r="22" spans="1:5" x14ac:dyDescent="0.6">
      <c r="B22" s="7" t="s">
        <v>274</v>
      </c>
      <c r="C22" s="7"/>
    </row>
    <row r="23" spans="1:5" x14ac:dyDescent="0.6">
      <c r="B23" s="7" t="s">
        <v>283</v>
      </c>
      <c r="C23" s="7">
        <f>Budgets!D18</f>
        <v>18.5</v>
      </c>
    </row>
    <row r="24" spans="1:5" x14ac:dyDescent="0.6">
      <c r="B24" s="7" t="s">
        <v>275</v>
      </c>
      <c r="C24" s="82">
        <f>D9/Budgets!B18</f>
        <v>0.18999151477033965</v>
      </c>
    </row>
    <row r="25" spans="1:5" x14ac:dyDescent="0.6">
      <c r="B25" s="7" t="s">
        <v>276</v>
      </c>
      <c r="C25" s="82">
        <f>D8/Budgets!B14</f>
        <v>5.7407917700009185E-2</v>
      </c>
    </row>
    <row r="26" spans="1:5" x14ac:dyDescent="0.6">
      <c r="B26" s="7" t="s">
        <v>277</v>
      </c>
      <c r="C26" s="7">
        <f>C21-SUM(C23:C25)</f>
        <v>2.252600567529651</v>
      </c>
    </row>
    <row r="27" spans="1:5" x14ac:dyDescent="0.6">
      <c r="B27" s="7" t="s">
        <v>244</v>
      </c>
      <c r="C27" s="84">
        <f>E18/C26</f>
        <v>4263251.133603612</v>
      </c>
    </row>
    <row r="28" spans="1:5" x14ac:dyDescent="0.6">
      <c r="B28" s="7" t="s">
        <v>195</v>
      </c>
      <c r="C28" s="89">
        <f>C27/Budgets!B18</f>
        <v>0.48948874042477403</v>
      </c>
    </row>
    <row r="29" spans="1:5" x14ac:dyDescent="0.6">
      <c r="C29" s="31"/>
    </row>
    <row r="30" spans="1:5" ht="49" customHeight="1" x14ac:dyDescent="0.6">
      <c r="A30" s="134" t="s">
        <v>220</v>
      </c>
      <c r="B30" s="134"/>
      <c r="C30" s="134"/>
      <c r="D30" s="134"/>
      <c r="E30" s="134"/>
    </row>
    <row r="31" spans="1:5" ht="86.5" customHeight="1" x14ac:dyDescent="0.6">
      <c r="A31" s="134" t="s">
        <v>320</v>
      </c>
      <c r="B31" s="134"/>
      <c r="C31" s="134"/>
      <c r="D31" s="134"/>
      <c r="E31" s="134"/>
    </row>
  </sheetData>
  <mergeCells count="2">
    <mergeCell ref="A30:E30"/>
    <mergeCell ref="A31:E3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80</v>
      </c>
    </row>
    <row r="3" spans="1:11" x14ac:dyDescent="0.35">
      <c r="C3" s="135" t="s">
        <v>81</v>
      </c>
      <c r="D3" s="135"/>
      <c r="E3" s="135"/>
      <c r="F3" s="135"/>
      <c r="G3" s="135"/>
      <c r="H3" s="135"/>
      <c r="I3" s="135"/>
      <c r="J3" s="135"/>
      <c r="K3" s="135"/>
    </row>
    <row r="4" spans="1:11" x14ac:dyDescent="0.35">
      <c r="C4">
        <v>1</v>
      </c>
      <c r="D4">
        <v>2</v>
      </c>
      <c r="E4">
        <v>3</v>
      </c>
      <c r="F4">
        <v>4</v>
      </c>
      <c r="G4">
        <v>5</v>
      </c>
      <c r="H4">
        <v>6</v>
      </c>
      <c r="I4">
        <v>7</v>
      </c>
      <c r="J4">
        <v>8</v>
      </c>
      <c r="K4">
        <v>9</v>
      </c>
    </row>
    <row r="5" spans="1:11" x14ac:dyDescent="0.35">
      <c r="A5" t="s">
        <v>82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11" sqref="D11"/>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90</v>
      </c>
    </row>
    <row r="3" spans="1:7" x14ac:dyDescent="0.6">
      <c r="A3" s="70" t="s">
        <v>91</v>
      </c>
    </row>
    <row r="4" spans="1:7" x14ac:dyDescent="0.6">
      <c r="A4" s="6" t="s">
        <v>92</v>
      </c>
      <c r="D4" s="90">
        <f>'Ann 2'!C6</f>
        <v>152.5</v>
      </c>
    </row>
    <row r="5" spans="1:7" x14ac:dyDescent="0.6">
      <c r="A5" s="6" t="s">
        <v>93</v>
      </c>
      <c r="D5" s="91">
        <v>0.06</v>
      </c>
    </row>
    <row r="6" spans="1:7" x14ac:dyDescent="0.6">
      <c r="A6" s="6" t="s">
        <v>94</v>
      </c>
      <c r="D6" s="92" t="s">
        <v>153</v>
      </c>
    </row>
    <row r="8" spans="1:7" x14ac:dyDescent="0.6">
      <c r="A8" s="27" t="s">
        <v>68</v>
      </c>
      <c r="B8" s="27" t="s">
        <v>95</v>
      </c>
      <c r="C8" s="27" t="s">
        <v>96</v>
      </c>
      <c r="D8" s="27" t="s">
        <v>98</v>
      </c>
      <c r="E8" s="27" t="s">
        <v>97</v>
      </c>
    </row>
    <row r="9" spans="1:7" x14ac:dyDescent="0.6">
      <c r="A9" s="136">
        <v>1</v>
      </c>
      <c r="B9" s="7">
        <v>1</v>
      </c>
      <c r="C9" s="78">
        <f>$D$4</f>
        <v>152.5</v>
      </c>
      <c r="D9" s="7">
        <v>0</v>
      </c>
      <c r="E9" s="7">
        <f>C9*$D$5/4</f>
        <v>2.2875000000000001</v>
      </c>
    </row>
    <row r="10" spans="1:7" x14ac:dyDescent="0.6">
      <c r="A10" s="136"/>
      <c r="B10" s="7">
        <v>2</v>
      </c>
      <c r="C10" s="78">
        <f>$D$4</f>
        <v>152.5</v>
      </c>
      <c r="D10" s="7">
        <v>0</v>
      </c>
      <c r="E10" s="7">
        <f t="shared" ref="E10:E36" si="0">C10*$D$5/4</f>
        <v>2.2875000000000001</v>
      </c>
      <c r="G10" s="93"/>
    </row>
    <row r="11" spans="1:7" x14ac:dyDescent="0.6">
      <c r="A11" s="136"/>
      <c r="B11" s="7">
        <v>3</v>
      </c>
      <c r="C11" s="78">
        <f>$D$4</f>
        <v>152.5</v>
      </c>
      <c r="D11" s="7">
        <f>D4/26</f>
        <v>5.865384615384615</v>
      </c>
      <c r="E11" s="7">
        <f t="shared" si="0"/>
        <v>2.2875000000000001</v>
      </c>
    </row>
    <row r="12" spans="1:7" x14ac:dyDescent="0.6">
      <c r="A12" s="136"/>
      <c r="B12" s="7">
        <v>4</v>
      </c>
      <c r="C12" s="7">
        <f t="shared" ref="C12:C17" si="1">C11-D11</f>
        <v>146.63461538461539</v>
      </c>
      <c r="D12" s="7">
        <f>D11</f>
        <v>5.865384615384615</v>
      </c>
      <c r="E12" s="7">
        <f t="shared" si="0"/>
        <v>2.1995192307692308</v>
      </c>
    </row>
    <row r="13" spans="1:7" x14ac:dyDescent="0.6">
      <c r="A13" s="136">
        <v>2</v>
      </c>
      <c r="B13" s="7">
        <v>1</v>
      </c>
      <c r="C13" s="7">
        <f t="shared" si="1"/>
        <v>140.76923076923077</v>
      </c>
      <c r="D13" s="7">
        <f t="shared" ref="D13:D35" si="2">D12</f>
        <v>5.865384615384615</v>
      </c>
      <c r="E13" s="7">
        <f t="shared" si="0"/>
        <v>2.1115384615384616</v>
      </c>
    </row>
    <row r="14" spans="1:7" x14ac:dyDescent="0.6">
      <c r="A14" s="136"/>
      <c r="B14" s="7">
        <v>2</v>
      </c>
      <c r="C14" s="7">
        <f t="shared" si="1"/>
        <v>134.90384615384616</v>
      </c>
      <c r="D14" s="7">
        <f t="shared" si="2"/>
        <v>5.865384615384615</v>
      </c>
      <c r="E14" s="7">
        <f t="shared" si="0"/>
        <v>2.0235576923076923</v>
      </c>
    </row>
    <row r="15" spans="1:7" x14ac:dyDescent="0.6">
      <c r="A15" s="136"/>
      <c r="B15" s="7">
        <v>3</v>
      </c>
      <c r="C15" s="7">
        <f t="shared" si="1"/>
        <v>129.03846153846155</v>
      </c>
      <c r="D15" s="7">
        <f t="shared" si="2"/>
        <v>5.865384615384615</v>
      </c>
      <c r="E15" s="7">
        <f t="shared" si="0"/>
        <v>1.9355769230769231</v>
      </c>
    </row>
    <row r="16" spans="1:7" x14ac:dyDescent="0.6">
      <c r="A16" s="136"/>
      <c r="B16" s="7">
        <v>4</v>
      </c>
      <c r="C16" s="7">
        <f t="shared" si="1"/>
        <v>123.17307692307693</v>
      </c>
      <c r="D16" s="7">
        <f t="shared" si="2"/>
        <v>5.865384615384615</v>
      </c>
      <c r="E16" s="7">
        <f t="shared" si="0"/>
        <v>1.8475961538461538</v>
      </c>
    </row>
    <row r="17" spans="1:5" x14ac:dyDescent="0.6">
      <c r="A17" s="136">
        <v>3</v>
      </c>
      <c r="B17" s="7">
        <v>1</v>
      </c>
      <c r="C17" s="7">
        <f t="shared" si="1"/>
        <v>117.30769230769232</v>
      </c>
      <c r="D17" s="7">
        <f t="shared" si="2"/>
        <v>5.865384615384615</v>
      </c>
      <c r="E17" s="7">
        <f t="shared" si="0"/>
        <v>1.7596153846153848</v>
      </c>
    </row>
    <row r="18" spans="1:5" x14ac:dyDescent="0.6">
      <c r="A18" s="136"/>
      <c r="B18" s="7">
        <v>2</v>
      </c>
      <c r="C18" s="7">
        <f t="shared" ref="C18:C36" si="3">C17-D17</f>
        <v>111.44230769230771</v>
      </c>
      <c r="D18" s="7">
        <f t="shared" si="2"/>
        <v>5.865384615384615</v>
      </c>
      <c r="E18" s="7">
        <f t="shared" si="0"/>
        <v>1.6716346153846156</v>
      </c>
    </row>
    <row r="19" spans="1:5" x14ac:dyDescent="0.6">
      <c r="A19" s="136"/>
      <c r="B19" s="7">
        <v>3</v>
      </c>
      <c r="C19" s="7">
        <f t="shared" si="3"/>
        <v>105.57692307692309</v>
      </c>
      <c r="D19" s="7">
        <f t="shared" si="2"/>
        <v>5.865384615384615</v>
      </c>
      <c r="E19" s="7">
        <f t="shared" si="0"/>
        <v>1.5836538461538463</v>
      </c>
    </row>
    <row r="20" spans="1:5" x14ac:dyDescent="0.6">
      <c r="A20" s="136"/>
      <c r="B20" s="7">
        <v>4</v>
      </c>
      <c r="C20" s="7">
        <f t="shared" si="3"/>
        <v>99.711538461538481</v>
      </c>
      <c r="D20" s="7">
        <f t="shared" si="2"/>
        <v>5.865384615384615</v>
      </c>
      <c r="E20" s="7">
        <f t="shared" si="0"/>
        <v>1.4956730769230773</v>
      </c>
    </row>
    <row r="21" spans="1:5" x14ac:dyDescent="0.6">
      <c r="A21" s="136">
        <v>4</v>
      </c>
      <c r="B21" s="7">
        <v>1</v>
      </c>
      <c r="C21" s="7">
        <f t="shared" si="3"/>
        <v>93.846153846153868</v>
      </c>
      <c r="D21" s="7">
        <f t="shared" si="2"/>
        <v>5.865384615384615</v>
      </c>
      <c r="E21" s="7">
        <f t="shared" si="0"/>
        <v>1.407692307692308</v>
      </c>
    </row>
    <row r="22" spans="1:5" x14ac:dyDescent="0.6">
      <c r="A22" s="136"/>
      <c r="B22" s="7">
        <v>2</v>
      </c>
      <c r="C22" s="7">
        <f t="shared" si="3"/>
        <v>87.980769230769255</v>
      </c>
      <c r="D22" s="7">
        <f t="shared" si="2"/>
        <v>5.865384615384615</v>
      </c>
      <c r="E22" s="7">
        <f t="shared" si="0"/>
        <v>1.3197115384615388</v>
      </c>
    </row>
    <row r="23" spans="1:5" x14ac:dyDescent="0.6">
      <c r="A23" s="136"/>
      <c r="B23" s="7">
        <v>3</v>
      </c>
      <c r="C23" s="7">
        <f t="shared" si="3"/>
        <v>82.115384615384642</v>
      </c>
      <c r="D23" s="7">
        <f t="shared" si="2"/>
        <v>5.865384615384615</v>
      </c>
      <c r="E23" s="7">
        <f t="shared" si="0"/>
        <v>1.2317307692307695</v>
      </c>
    </row>
    <row r="24" spans="1:5" x14ac:dyDescent="0.6">
      <c r="A24" s="136"/>
      <c r="B24" s="7">
        <v>4</v>
      </c>
      <c r="C24" s="7">
        <f t="shared" si="3"/>
        <v>76.250000000000028</v>
      </c>
      <c r="D24" s="7">
        <f t="shared" si="2"/>
        <v>5.865384615384615</v>
      </c>
      <c r="E24" s="7">
        <f t="shared" si="0"/>
        <v>1.1437500000000005</v>
      </c>
    </row>
    <row r="25" spans="1:5" x14ac:dyDescent="0.6">
      <c r="A25" s="136">
        <v>5</v>
      </c>
      <c r="B25" s="7">
        <v>1</v>
      </c>
      <c r="C25" s="7">
        <f t="shared" si="3"/>
        <v>70.384615384615415</v>
      </c>
      <c r="D25" s="7">
        <f t="shared" si="2"/>
        <v>5.865384615384615</v>
      </c>
      <c r="E25" s="7">
        <f t="shared" si="0"/>
        <v>1.0557692307692312</v>
      </c>
    </row>
    <row r="26" spans="1:5" x14ac:dyDescent="0.6">
      <c r="A26" s="136"/>
      <c r="B26" s="7">
        <v>2</v>
      </c>
      <c r="C26" s="7">
        <f t="shared" si="3"/>
        <v>64.519230769230802</v>
      </c>
      <c r="D26" s="7">
        <f t="shared" si="2"/>
        <v>5.865384615384615</v>
      </c>
      <c r="E26" s="7">
        <f t="shared" si="0"/>
        <v>0.96778846153846199</v>
      </c>
    </row>
    <row r="27" spans="1:5" x14ac:dyDescent="0.6">
      <c r="A27" s="136"/>
      <c r="B27" s="7">
        <v>3</v>
      </c>
      <c r="C27" s="7">
        <f t="shared" si="3"/>
        <v>58.653846153846189</v>
      </c>
      <c r="D27" s="7">
        <f t="shared" si="2"/>
        <v>5.865384615384615</v>
      </c>
      <c r="E27" s="7">
        <f t="shared" si="0"/>
        <v>0.87980769230769285</v>
      </c>
    </row>
    <row r="28" spans="1:5" x14ac:dyDescent="0.6">
      <c r="A28" s="136"/>
      <c r="B28" s="7">
        <v>4</v>
      </c>
      <c r="C28" s="7">
        <f t="shared" si="3"/>
        <v>52.788461538461576</v>
      </c>
      <c r="D28" s="7">
        <f t="shared" si="2"/>
        <v>5.865384615384615</v>
      </c>
      <c r="E28" s="7">
        <f t="shared" si="0"/>
        <v>0.79182692307692359</v>
      </c>
    </row>
    <row r="29" spans="1:5" x14ac:dyDescent="0.6">
      <c r="A29" s="136">
        <v>6</v>
      </c>
      <c r="B29" s="7">
        <v>1</v>
      </c>
      <c r="C29" s="7">
        <f t="shared" si="3"/>
        <v>46.923076923076962</v>
      </c>
      <c r="D29" s="7">
        <f t="shared" si="2"/>
        <v>5.865384615384615</v>
      </c>
      <c r="E29" s="7">
        <f t="shared" si="0"/>
        <v>0.70384615384615445</v>
      </c>
    </row>
    <row r="30" spans="1:5" x14ac:dyDescent="0.6">
      <c r="A30" s="136"/>
      <c r="B30" s="7">
        <v>2</v>
      </c>
      <c r="C30" s="7">
        <f t="shared" si="3"/>
        <v>41.057692307692349</v>
      </c>
      <c r="D30" s="7">
        <f t="shared" si="2"/>
        <v>5.865384615384615</v>
      </c>
      <c r="E30" s="7">
        <f t="shared" si="0"/>
        <v>0.6158653846153852</v>
      </c>
    </row>
    <row r="31" spans="1:5" x14ac:dyDescent="0.6">
      <c r="A31" s="136"/>
      <c r="B31" s="7">
        <v>3</v>
      </c>
      <c r="C31" s="7">
        <f t="shared" si="3"/>
        <v>35.192307692307736</v>
      </c>
      <c r="D31" s="7">
        <f t="shared" si="2"/>
        <v>5.865384615384615</v>
      </c>
      <c r="E31" s="7">
        <f t="shared" si="0"/>
        <v>0.52788461538461606</v>
      </c>
    </row>
    <row r="32" spans="1:5" x14ac:dyDescent="0.6">
      <c r="A32" s="136"/>
      <c r="B32" s="7">
        <v>4</v>
      </c>
      <c r="C32" s="7">
        <f t="shared" si="3"/>
        <v>29.326923076923123</v>
      </c>
      <c r="D32" s="7">
        <f t="shared" si="2"/>
        <v>5.865384615384615</v>
      </c>
      <c r="E32" s="7">
        <f t="shared" si="0"/>
        <v>0.43990384615384681</v>
      </c>
    </row>
    <row r="33" spans="1:5" x14ac:dyDescent="0.6">
      <c r="A33" s="136">
        <v>7</v>
      </c>
      <c r="B33" s="7">
        <v>1</v>
      </c>
      <c r="C33" s="7">
        <f t="shared" si="3"/>
        <v>23.46153846153851</v>
      </c>
      <c r="D33" s="7">
        <f t="shared" si="2"/>
        <v>5.865384615384615</v>
      </c>
      <c r="E33" s="7">
        <f t="shared" si="0"/>
        <v>0.35192307692307762</v>
      </c>
    </row>
    <row r="34" spans="1:5" x14ac:dyDescent="0.6">
      <c r="A34" s="136"/>
      <c r="B34" s="7">
        <v>2</v>
      </c>
      <c r="C34" s="7">
        <f t="shared" si="3"/>
        <v>17.596153846153896</v>
      </c>
      <c r="D34" s="7">
        <f t="shared" si="2"/>
        <v>5.865384615384615</v>
      </c>
      <c r="E34" s="7">
        <f t="shared" si="0"/>
        <v>0.26394230769230842</v>
      </c>
    </row>
    <row r="35" spans="1:5" x14ac:dyDescent="0.6">
      <c r="A35" s="136"/>
      <c r="B35" s="7">
        <v>3</v>
      </c>
      <c r="C35" s="7">
        <f t="shared" si="3"/>
        <v>11.730769230769281</v>
      </c>
      <c r="D35" s="7">
        <f t="shared" si="2"/>
        <v>5.865384615384615</v>
      </c>
      <c r="E35" s="7">
        <f t="shared" si="0"/>
        <v>0.17596153846153922</v>
      </c>
    </row>
    <row r="36" spans="1:5" x14ac:dyDescent="0.6">
      <c r="A36" s="136"/>
      <c r="B36" s="7">
        <v>4</v>
      </c>
      <c r="C36" s="7">
        <f t="shared" si="3"/>
        <v>5.8653846153846665</v>
      </c>
      <c r="D36" s="94">
        <f>D4-SUM(D9:D35)</f>
        <v>5.8653846153846416</v>
      </c>
      <c r="E36" s="7">
        <f t="shared" si="0"/>
        <v>8.7980769230770001E-2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topLeftCell="A3" workbookViewId="0">
      <selection activeCell="C19" sqref="C19"/>
    </sheetView>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293</v>
      </c>
      <c r="B1" s="5"/>
    </row>
    <row r="2" spans="1:11" x14ac:dyDescent="0.6">
      <c r="A2" s="5"/>
      <c r="B2" s="5"/>
    </row>
    <row r="3" spans="1:11" x14ac:dyDescent="0.6">
      <c r="A3" s="27" t="s">
        <v>3</v>
      </c>
      <c r="B3" s="95">
        <v>0</v>
      </c>
      <c r="C3" s="27" t="s">
        <v>38</v>
      </c>
      <c r="D3" s="27" t="s">
        <v>39</v>
      </c>
      <c r="E3" s="27" t="s">
        <v>40</v>
      </c>
      <c r="F3" s="27" t="s">
        <v>41</v>
      </c>
      <c r="G3" s="27" t="s">
        <v>42</v>
      </c>
      <c r="H3" s="27" t="s">
        <v>43</v>
      </c>
      <c r="I3" s="27" t="s">
        <v>44</v>
      </c>
      <c r="J3" s="27" t="s">
        <v>45</v>
      </c>
      <c r="K3" s="27" t="s">
        <v>46</v>
      </c>
    </row>
    <row r="4" spans="1:11" x14ac:dyDescent="0.6">
      <c r="A4" s="7" t="s">
        <v>158</v>
      </c>
      <c r="B4" s="72">
        <f>'Ann 2'!C7*100000</f>
        <v>5000000</v>
      </c>
      <c r="C4" s="72">
        <f>B21</f>
        <v>5000000</v>
      </c>
      <c r="D4" s="72">
        <f>C21</f>
        <v>7142916.0876923092</v>
      </c>
      <c r="E4" s="72">
        <f t="shared" ref="E4:K4" si="0">D21</f>
        <v>7207285.3003076836</v>
      </c>
      <c r="F4" s="72">
        <f t="shared" si="0"/>
        <v>7652860.1162307691</v>
      </c>
      <c r="G4" s="72">
        <f t="shared" si="0"/>
        <v>8027727.4894615319</v>
      </c>
      <c r="H4" s="72">
        <f t="shared" si="0"/>
        <v>8361057.3766999934</v>
      </c>
      <c r="I4" s="72">
        <f t="shared" si="0"/>
        <v>10375042.568981169</v>
      </c>
      <c r="J4" s="72">
        <f t="shared" si="0"/>
        <v>12492072.555616744</v>
      </c>
      <c r="K4" s="72">
        <f t="shared" si="0"/>
        <v>17067706.995668832</v>
      </c>
    </row>
    <row r="5" spans="1:11" x14ac:dyDescent="0.6">
      <c r="A5" s="7" t="s">
        <v>197</v>
      </c>
      <c r="B5" s="72">
        <f>'Ann 5'!C18</f>
        <v>2250000</v>
      </c>
      <c r="C5" s="72">
        <v>0</v>
      </c>
      <c r="D5" s="72">
        <v>0</v>
      </c>
      <c r="E5" s="72">
        <v>0</v>
      </c>
      <c r="F5" s="72">
        <v>0</v>
      </c>
      <c r="G5" s="72">
        <v>0</v>
      </c>
      <c r="H5" s="72">
        <v>0</v>
      </c>
      <c r="I5" s="72">
        <v>0</v>
      </c>
      <c r="J5" s="72">
        <v>0</v>
      </c>
      <c r="K5" s="72">
        <v>0</v>
      </c>
    </row>
    <row r="6" spans="1:11" x14ac:dyDescent="0.6">
      <c r="A6" s="7" t="s">
        <v>198</v>
      </c>
      <c r="B6" s="72">
        <f>'Ann 2'!C6*100000</f>
        <v>15250000</v>
      </c>
      <c r="C6" s="72">
        <v>0</v>
      </c>
      <c r="D6" s="72">
        <v>0</v>
      </c>
      <c r="E6" s="72">
        <v>0</v>
      </c>
      <c r="F6" s="72">
        <v>0</v>
      </c>
      <c r="G6" s="72">
        <v>0</v>
      </c>
      <c r="H6" s="72">
        <v>0</v>
      </c>
      <c r="I6" s="72">
        <v>0</v>
      </c>
      <c r="J6" s="72">
        <v>0</v>
      </c>
      <c r="K6" s="72">
        <v>0</v>
      </c>
    </row>
    <row r="7" spans="1:11" x14ac:dyDescent="0.6">
      <c r="A7" s="7" t="s">
        <v>199</v>
      </c>
      <c r="B7" s="72">
        <f>'Ann 9'!F9*100000</f>
        <v>17400000</v>
      </c>
      <c r="C7" s="72">
        <v>0</v>
      </c>
      <c r="D7" s="72">
        <v>0</v>
      </c>
      <c r="E7" s="72">
        <v>0</v>
      </c>
      <c r="F7" s="72">
        <v>0</v>
      </c>
      <c r="G7" s="72">
        <v>0</v>
      </c>
      <c r="H7" s="72">
        <v>0</v>
      </c>
      <c r="I7" s="72">
        <v>0</v>
      </c>
      <c r="J7" s="72">
        <v>0</v>
      </c>
      <c r="K7" s="72">
        <v>0</v>
      </c>
    </row>
    <row r="8" spans="1:11" x14ac:dyDescent="0.6">
      <c r="A8" s="7" t="s">
        <v>265</v>
      </c>
      <c r="B8" s="72">
        <f>'Ann 1'!C8*100000</f>
        <v>0</v>
      </c>
      <c r="C8" s="72"/>
      <c r="D8" s="72"/>
      <c r="E8" s="72"/>
      <c r="F8" s="72"/>
      <c r="G8" s="72"/>
      <c r="H8" s="72"/>
      <c r="I8" s="72"/>
      <c r="J8" s="72"/>
      <c r="K8" s="72"/>
    </row>
    <row r="9" spans="1:11" x14ac:dyDescent="0.6">
      <c r="A9" s="7" t="s">
        <v>159</v>
      </c>
      <c r="B9" s="72"/>
      <c r="C9" s="72">
        <f>'Ann 4'!C23-'Ann 5'!C12</f>
        <v>59573664</v>
      </c>
      <c r="D9" s="72">
        <f>'Ann 4'!D23-'Ann 5'!D12</f>
        <v>70991949.599999994</v>
      </c>
      <c r="E9" s="72">
        <f>'Ann 4'!E23-'Ann 5'!E12</f>
        <v>76452868.800000012</v>
      </c>
      <c r="F9" s="72">
        <f>'Ann 4'!F23-'Ann 5'!F12</f>
        <v>81913788.000000015</v>
      </c>
      <c r="G9" s="72">
        <f>'Ann 4'!G23-'Ann 5'!G12</f>
        <v>87374707.200000018</v>
      </c>
      <c r="H9" s="72">
        <f>'Ann 4'!H23-'Ann 5'!H12</f>
        <v>92835626.400000006</v>
      </c>
      <c r="I9" s="72">
        <f>'Ann 4'!I23-'Ann 5'!I12</f>
        <v>98296545.600000009</v>
      </c>
      <c r="J9" s="72">
        <f>'Ann 4'!J23-'Ann 5'!J12</f>
        <v>103757464.80000001</v>
      </c>
      <c r="K9" s="72">
        <f>'Ann 4'!K23-'Ann 5'!K12</f>
        <v>109218384</v>
      </c>
    </row>
    <row r="10" spans="1:11" x14ac:dyDescent="0.6">
      <c r="A10" s="7" t="s">
        <v>174</v>
      </c>
      <c r="B10" s="72">
        <v>0</v>
      </c>
      <c r="C10" s="72">
        <v>0</v>
      </c>
      <c r="D10" s="72">
        <f>'Ann 5'!C24</f>
        <v>15585829.199999999</v>
      </c>
      <c r="E10" s="72">
        <f>'Ann 5'!D24</f>
        <v>17970898.725000001</v>
      </c>
      <c r="F10" s="72">
        <f>'Ann 5'!E24</f>
        <v>19353275.550000004</v>
      </c>
      <c r="G10" s="72">
        <f>'Ann 5'!F24</f>
        <v>20735652.375</v>
      </c>
      <c r="H10" s="72">
        <f>'Ann 5'!G24</f>
        <v>22118029.199999999</v>
      </c>
      <c r="I10" s="72">
        <f>'Ann 5'!H24</f>
        <v>23500406.025000002</v>
      </c>
      <c r="J10" s="72">
        <f>'Ann 5'!I24</f>
        <v>24882782.850000001</v>
      </c>
      <c r="K10" s="72">
        <f>'Ann 5'!J24</f>
        <v>26265159.675000001</v>
      </c>
    </row>
    <row r="11" spans="1:11" x14ac:dyDescent="0.6">
      <c r="A11" s="7" t="s">
        <v>175</v>
      </c>
      <c r="B11" s="72">
        <v>0</v>
      </c>
      <c r="C11" s="72">
        <v>0</v>
      </c>
      <c r="D11" s="72">
        <f>'Ann 5'!C12</f>
        <v>14893416</v>
      </c>
      <c r="E11" s="72">
        <f>'Ann 5'!D12</f>
        <v>17747987.399999999</v>
      </c>
      <c r="F11" s="72">
        <f>'Ann 5'!E12</f>
        <v>19113217.200000003</v>
      </c>
      <c r="G11" s="72">
        <f>'Ann 5'!F12</f>
        <v>20478447.000000004</v>
      </c>
      <c r="H11" s="72">
        <f>'Ann 5'!G12</f>
        <v>21843676.800000004</v>
      </c>
      <c r="I11" s="72">
        <f>'Ann 5'!H12</f>
        <v>23208906.600000001</v>
      </c>
      <c r="J11" s="72">
        <f>'Ann 5'!I12</f>
        <v>24574136.400000002</v>
      </c>
      <c r="K11" s="72">
        <f>'Ann 5'!J12</f>
        <v>25939366.200000003</v>
      </c>
    </row>
    <row r="12" spans="1:11" x14ac:dyDescent="0.6">
      <c r="A12" s="7" t="s">
        <v>176</v>
      </c>
      <c r="B12" s="72">
        <v>0</v>
      </c>
      <c r="C12" s="72">
        <f>'Ann 4'!C11+'Ann 4'!C20-'Ann 5'!C24</f>
        <v>50015046.799999997</v>
      </c>
      <c r="D12" s="72">
        <f>'Ann 4'!D11+'Ann 4'!D20-'Ann 5'!D24</f>
        <v>57113493.824999996</v>
      </c>
      <c r="E12" s="72">
        <f>'Ann 4'!E11+'Ann 4'!E20-'Ann 5'!E24</f>
        <v>61261801.350000001</v>
      </c>
      <c r="F12" s="72">
        <f>'Ann 4'!F11+'Ann 4'!F20-'Ann 5'!F24</f>
        <v>65427505.275000006</v>
      </c>
      <c r="G12" s="72">
        <f>'Ann 4'!G11+'Ann 4'!G20-'Ann 5'!G24</f>
        <v>69611475.420000002</v>
      </c>
      <c r="H12" s="72">
        <f>'Ann 4'!H11+'Ann 4'!H20-'Ann 5'!H24</f>
        <v>73814625.096000016</v>
      </c>
      <c r="I12" s="72">
        <f>'Ann 4'!I11+'Ann 4'!I20-'Ann 5'!I24</f>
        <v>78037913.279550016</v>
      </c>
      <c r="J12" s="72">
        <f>'Ann 4'!J11+'Ann 4'!J20-'Ann 5'!J24</f>
        <v>82282346.896027505</v>
      </c>
      <c r="K12" s="72">
        <f>'Ann 4'!K11+'Ann 4'!K20-'Ann 5'!K24</f>
        <v>86548983.217078865</v>
      </c>
    </row>
    <row r="13" spans="1:11" x14ac:dyDescent="0.6">
      <c r="A13" s="7" t="s">
        <v>242</v>
      </c>
      <c r="B13" s="72">
        <f>'Ann 4'!C32</f>
        <v>100000</v>
      </c>
      <c r="C13" s="72">
        <v>0</v>
      </c>
      <c r="D13" s="72">
        <v>0</v>
      </c>
      <c r="E13" s="72">
        <v>0</v>
      </c>
      <c r="F13" s="72">
        <v>0</v>
      </c>
      <c r="G13" s="72">
        <v>0</v>
      </c>
      <c r="H13" s="72">
        <v>0</v>
      </c>
      <c r="I13" s="72">
        <v>0</v>
      </c>
      <c r="J13" s="72">
        <v>0</v>
      </c>
      <c r="K13" s="72">
        <v>0</v>
      </c>
    </row>
    <row r="14" spans="1:11" x14ac:dyDescent="0.6">
      <c r="A14" s="7" t="s">
        <v>160</v>
      </c>
      <c r="B14" s="72">
        <v>0</v>
      </c>
      <c r="C14" s="72">
        <f>'Ann 4'!C29</f>
        <v>1406201.923076923</v>
      </c>
      <c r="D14" s="72">
        <f>'Ann 4'!D29</f>
        <v>1291826.923076923</v>
      </c>
      <c r="E14" s="72">
        <f>'Ann 4'!E29</f>
        <v>1151057.6923076925</v>
      </c>
      <c r="F14" s="72">
        <f>'Ann 4'!F29</f>
        <v>1010288.4615384617</v>
      </c>
      <c r="G14" s="72">
        <f>'Ann 4'!G29</f>
        <v>869519.23076923098</v>
      </c>
      <c r="H14" s="72">
        <f>'Ann 4'!H29</f>
        <v>728750.00000000023</v>
      </c>
      <c r="I14" s="72">
        <f>'Ann 4'!I29</f>
        <v>587980.76923076948</v>
      </c>
      <c r="J14" s="72">
        <f>'Ann 4'!J29</f>
        <v>500000</v>
      </c>
      <c r="K14" s="72">
        <f>'Ann 4'!K29</f>
        <v>500000</v>
      </c>
    </row>
    <row r="15" spans="1:11" x14ac:dyDescent="0.6">
      <c r="A15" s="7"/>
      <c r="B15" s="72">
        <f>B4+B5+B6-B7-B8-B13</f>
        <v>5000000</v>
      </c>
      <c r="C15" s="72">
        <f>C4+C9-C10+C11-C12-C14+C5+C6-C7</f>
        <v>13152415.276923079</v>
      </c>
      <c r="D15" s="72">
        <f>D4+D9-D10+D11-D12-D14+D5+D6-D7</f>
        <v>19037131.739615377</v>
      </c>
      <c r="E15" s="72">
        <f>E4+E9-E10+E11-E12-E14+E5+E6-E7</f>
        <v>21024383.733000007</v>
      </c>
      <c r="F15" s="72">
        <f t="shared" ref="F15:K15" si="1">F4+F9-F10+F11-F12-F14+F5+F6-F7</f>
        <v>22888796.029692311</v>
      </c>
      <c r="G15" s="72">
        <f t="shared" si="1"/>
        <v>24664234.66369231</v>
      </c>
      <c r="H15" s="72">
        <f t="shared" si="1"/>
        <v>26378956.280699998</v>
      </c>
      <c r="I15" s="72">
        <f t="shared" si="1"/>
        <v>29754194.695200399</v>
      </c>
      <c r="J15" s="72">
        <f t="shared" si="1"/>
        <v>33158544.009589255</v>
      </c>
      <c r="K15" s="72">
        <f t="shared" si="1"/>
        <v>38911314.30358997</v>
      </c>
    </row>
    <row r="16" spans="1:11" x14ac:dyDescent="0.6">
      <c r="A16" s="7" t="s">
        <v>178</v>
      </c>
      <c r="B16" s="72">
        <v>0</v>
      </c>
      <c r="C16" s="72">
        <f>'Ann 4'!C35</f>
        <v>1715031.0230769231</v>
      </c>
      <c r="D16" s="72">
        <f>'Ann 4'!D35</f>
        <v>3308264.8580769235</v>
      </c>
      <c r="E16" s="72">
        <f>'Ann 4'!E35</f>
        <v>3846059.2223076951</v>
      </c>
      <c r="F16" s="72">
        <f>'Ann 4'!F35</f>
        <v>4365667.9165384639</v>
      </c>
      <c r="G16" s="72">
        <f>'Ann 4'!G35</f>
        <v>4868729.1072692331</v>
      </c>
      <c r="H16" s="72">
        <f>'Ann 4'!H35</f>
        <v>4764334.8368249936</v>
      </c>
      <c r="I16" s="72">
        <f>'Ann 4'!I35</f>
        <v>5203244.7535220254</v>
      </c>
      <c r="J16" s="72">
        <f>'Ann 4'!J35</f>
        <v>5613082.6792745655</v>
      </c>
      <c r="K16" s="72">
        <f>'Ann 4'!K35</f>
        <v>5983977.398681731</v>
      </c>
    </row>
    <row r="17" spans="1:12" x14ac:dyDescent="0.6">
      <c r="A17" s="7"/>
      <c r="B17" s="72">
        <v>0</v>
      </c>
      <c r="C17" s="72">
        <f>C15-C16</f>
        <v>11437384.253846155</v>
      </c>
      <c r="D17" s="72">
        <f t="shared" ref="D17:K17" si="2">D15-D16</f>
        <v>15728866.881538454</v>
      </c>
      <c r="E17" s="72">
        <f t="shared" si="2"/>
        <v>17178324.510692313</v>
      </c>
      <c r="F17" s="72">
        <f t="shared" si="2"/>
        <v>18523128.113153845</v>
      </c>
      <c r="G17" s="72">
        <f t="shared" si="2"/>
        <v>19795505.556423075</v>
      </c>
      <c r="H17" s="72">
        <f t="shared" si="2"/>
        <v>21614621.443875004</v>
      </c>
      <c r="I17" s="72">
        <f t="shared" si="2"/>
        <v>24550949.941678375</v>
      </c>
      <c r="J17" s="72">
        <f t="shared" si="2"/>
        <v>27545461.330314688</v>
      </c>
      <c r="K17" s="72">
        <f t="shared" si="2"/>
        <v>32927336.90490824</v>
      </c>
    </row>
    <row r="18" spans="1:12" x14ac:dyDescent="0.6">
      <c r="A18" s="7" t="s">
        <v>177</v>
      </c>
      <c r="B18" s="72">
        <v>0</v>
      </c>
      <c r="C18" s="72">
        <f>'Ann 4'!C37</f>
        <v>3121391.2430769233</v>
      </c>
      <c r="D18" s="72">
        <f>'Ann 4'!D37</f>
        <v>6175427.7350769248</v>
      </c>
      <c r="E18" s="72">
        <f>'Ann 4'!E37</f>
        <v>7179310.5483076982</v>
      </c>
      <c r="F18" s="72">
        <f>'Ann 4'!F37</f>
        <v>8149246.7775384672</v>
      </c>
      <c r="G18" s="72">
        <f>'Ann 4'!G37</f>
        <v>9088294.3335692361</v>
      </c>
      <c r="H18" s="72">
        <f>'Ann 4'!H37</f>
        <v>8893425.0287399888</v>
      </c>
      <c r="I18" s="72">
        <f>'Ann 4'!I37</f>
        <v>9712723.5399077814</v>
      </c>
      <c r="J18" s="72">
        <f>'Ann 4'!J37</f>
        <v>10477754.334645856</v>
      </c>
      <c r="K18" s="72">
        <f>'Ann 4'!K37</f>
        <v>11170091.144205898</v>
      </c>
    </row>
    <row r="19" spans="1:12" x14ac:dyDescent="0.6">
      <c r="A19" s="7"/>
      <c r="B19" s="72">
        <v>0</v>
      </c>
      <c r="C19" s="72">
        <f>C17-C18</f>
        <v>8315993.0107692322</v>
      </c>
      <c r="D19" s="72">
        <f t="shared" ref="D19:K19" si="3">D17-D18</f>
        <v>9553439.1464615297</v>
      </c>
      <c r="E19" s="72">
        <f t="shared" si="3"/>
        <v>9999013.9623846151</v>
      </c>
      <c r="F19" s="72">
        <f t="shared" si="3"/>
        <v>10373881.335615378</v>
      </c>
      <c r="G19" s="72">
        <f t="shared" si="3"/>
        <v>10707211.222853839</v>
      </c>
      <c r="H19" s="72">
        <f t="shared" si="3"/>
        <v>12721196.415135015</v>
      </c>
      <c r="I19" s="72">
        <f t="shared" si="3"/>
        <v>14838226.401770594</v>
      </c>
      <c r="J19" s="72">
        <f t="shared" si="3"/>
        <v>17067706.995668832</v>
      </c>
      <c r="K19" s="72">
        <f t="shared" si="3"/>
        <v>21757245.760702342</v>
      </c>
    </row>
    <row r="20" spans="1:12" x14ac:dyDescent="0.6">
      <c r="A20" s="7" t="s">
        <v>179</v>
      </c>
      <c r="B20" s="72">
        <v>0</v>
      </c>
      <c r="C20" s="72">
        <f>SUM('Ann 13'!D9:D12)*100000</f>
        <v>1173076.923076923</v>
      </c>
      <c r="D20" s="72">
        <f>SUM('Ann 13'!D13:D16)*100000</f>
        <v>2346153.846153846</v>
      </c>
      <c r="E20" s="72">
        <f>SUM('Ann 13'!D17:D20)*100000</f>
        <v>2346153.846153846</v>
      </c>
      <c r="F20" s="72">
        <f>SUM('Ann 13'!D21:D24)*100000</f>
        <v>2346153.846153846</v>
      </c>
      <c r="G20" s="72">
        <f>SUM('Ann 13'!D25:D28)*100000</f>
        <v>2346153.846153846</v>
      </c>
      <c r="H20" s="72">
        <f>SUM('Ann 13'!D29:D32)*100000</f>
        <v>2346153.846153846</v>
      </c>
      <c r="I20" s="72">
        <f>SUM('Ann 13'!D33:D36)*100000</f>
        <v>2346153.8461538488</v>
      </c>
      <c r="J20" s="72">
        <v>0</v>
      </c>
      <c r="K20" s="72">
        <v>0</v>
      </c>
    </row>
    <row r="21" spans="1:12" x14ac:dyDescent="0.6">
      <c r="A21" s="7" t="s">
        <v>180</v>
      </c>
      <c r="B21" s="72">
        <f>B4+B5+B6-B7-B13-B8</f>
        <v>5000000</v>
      </c>
      <c r="C21" s="72">
        <f>C19-C20</f>
        <v>7142916.0876923092</v>
      </c>
      <c r="D21" s="72">
        <f>D19-D20</f>
        <v>7207285.3003076836</v>
      </c>
      <c r="E21" s="72">
        <f>E19-E20</f>
        <v>7652860.1162307691</v>
      </c>
      <c r="F21" s="72">
        <f t="shared" ref="F21:K21" si="4">F19-F20</f>
        <v>8027727.4894615319</v>
      </c>
      <c r="G21" s="72">
        <f t="shared" si="4"/>
        <v>8361057.3766999934</v>
      </c>
      <c r="H21" s="72">
        <f t="shared" si="4"/>
        <v>10375042.568981169</v>
      </c>
      <c r="I21" s="72">
        <f t="shared" si="4"/>
        <v>12492072.555616744</v>
      </c>
      <c r="J21" s="72">
        <f t="shared" si="4"/>
        <v>17067706.995668832</v>
      </c>
      <c r="K21" s="72">
        <f t="shared" si="4"/>
        <v>21757245.760702342</v>
      </c>
    </row>
    <row r="22" spans="1:12" x14ac:dyDescent="0.6">
      <c r="B22" s="52"/>
    </row>
    <row r="23" spans="1:12" x14ac:dyDescent="0.6">
      <c r="A23" s="111" t="s">
        <v>181</v>
      </c>
      <c r="B23" s="112">
        <v>0.06</v>
      </c>
      <c r="C23" s="113"/>
      <c r="D23" s="111"/>
      <c r="E23" s="111"/>
      <c r="F23" s="111"/>
      <c r="G23" s="111"/>
      <c r="H23" s="111"/>
      <c r="I23" s="111"/>
      <c r="J23" s="111"/>
      <c r="K23" s="111"/>
      <c r="L23" s="111"/>
    </row>
    <row r="24" spans="1:12" x14ac:dyDescent="0.6">
      <c r="A24" s="111" t="s">
        <v>182</v>
      </c>
      <c r="B24" s="111">
        <v>1</v>
      </c>
      <c r="C24" s="114">
        <f>1/(1+$B$23)</f>
        <v>0.94339622641509424</v>
      </c>
      <c r="D24" s="114">
        <f>1/((1+$B$23)*(1+$B$23))</f>
        <v>0.88999644001423983</v>
      </c>
      <c r="E24" s="114">
        <f>1/((1+$B$23)*(1+$B$23)*(1+$B$23))</f>
        <v>0.8396192830323016</v>
      </c>
      <c r="F24" s="114">
        <f>1/((1+$B$23)*(1+$B$23)*(1+$B$23)*(1+$B$23))</f>
        <v>0.79209366323802044</v>
      </c>
      <c r="G24" s="114">
        <f>1/((1+$B$23)*(1+$B$23)*(1+$B$23)*(1+$B$23)*(1+$B$23))</f>
        <v>0.74725817286605689</v>
      </c>
      <c r="H24" s="114">
        <f>1/((1+$B$23)*(1+$B$23)*(1+$B$23)*(1+$B$23)*(1+$B$23)*(1+$B$23))</f>
        <v>0.70496054043967626</v>
      </c>
      <c r="I24" s="114">
        <f>1/((1+$B$23)*(1+$B$23)*(1+$B$23)*(1+$B$23)*(1+$B$23)*(1+$B$23)*(1+$B$23))</f>
        <v>0.6650571136223361</v>
      </c>
      <c r="J24" s="114">
        <f>1/((1+$B$23)*(1+$B$23)*(1+$B$23)*(1+$B$23)*(1+$B$23)*(1+$B$23)*(1+$B$23)*(1+$B$23))</f>
        <v>0.62741237134182648</v>
      </c>
      <c r="K24" s="114">
        <f>1/((1+$B$23)*(1+$B$23)*(1+$B$23)*(1+$B$23)*(1+$B$23)*(1+$B$23)*(1+$B$23)*(1+$B$23)*(1+$B$23))</f>
        <v>0.59189846353002495</v>
      </c>
      <c r="L24" s="111"/>
    </row>
    <row r="25" spans="1:12" x14ac:dyDescent="0.6">
      <c r="A25" s="111" t="s">
        <v>183</v>
      </c>
      <c r="B25" s="111">
        <f>B4+B9+B11+B5+B6</f>
        <v>22500000</v>
      </c>
      <c r="C25" s="111">
        <f>C4+C9+C11+C5+C6</f>
        <v>64573664</v>
      </c>
      <c r="D25" s="111">
        <f t="shared" ref="D25:K25" si="5">D4+D9+D11</f>
        <v>93028281.687692299</v>
      </c>
      <c r="E25" s="111">
        <f t="shared" si="5"/>
        <v>101408141.50030771</v>
      </c>
      <c r="F25" s="111">
        <f t="shared" si="5"/>
        <v>108679865.31623079</v>
      </c>
      <c r="G25" s="111">
        <f t="shared" si="5"/>
        <v>115880881.68946154</v>
      </c>
      <c r="H25" s="111">
        <f t="shared" si="5"/>
        <v>123040360.5767</v>
      </c>
      <c r="I25" s="111">
        <f t="shared" si="5"/>
        <v>131880494.76898119</v>
      </c>
      <c r="J25" s="111">
        <f t="shared" si="5"/>
        <v>140823673.75561675</v>
      </c>
      <c r="K25" s="111">
        <f t="shared" si="5"/>
        <v>152225457.19566882</v>
      </c>
      <c r="L25" s="111"/>
    </row>
    <row r="26" spans="1:12" x14ac:dyDescent="0.6">
      <c r="A26" s="111" t="s">
        <v>184</v>
      </c>
      <c r="B26" s="111">
        <f>B25*B24</f>
        <v>22500000</v>
      </c>
      <c r="C26" s="111">
        <f>C25*C24</f>
        <v>60918550.943396218</v>
      </c>
      <c r="D26" s="111">
        <f t="shared" ref="D26:K26" si="6">D25*D24</f>
        <v>82794839.522688046</v>
      </c>
      <c r="E26" s="111">
        <f t="shared" si="6"/>
        <v>85144231.060126543</v>
      </c>
      <c r="F26" s="111">
        <f t="shared" si="6"/>
        <v>86084632.638547927</v>
      </c>
      <c r="G26" s="111">
        <f t="shared" si="6"/>
        <v>86592935.921374738</v>
      </c>
      <c r="H26" s="111">
        <f t="shared" si="6"/>
        <v>86738599.088043064</v>
      </c>
      <c r="I26" s="111">
        <f t="shared" si="6"/>
        <v>87708061.194144219</v>
      </c>
      <c r="J26" s="111">
        <f t="shared" si="6"/>
        <v>88354515.092079237</v>
      </c>
      <c r="K26" s="111">
        <f t="shared" si="6"/>
        <v>90102014.224271953</v>
      </c>
      <c r="L26" s="111"/>
    </row>
    <row r="27" spans="1:12" x14ac:dyDescent="0.6">
      <c r="A27" s="111" t="s">
        <v>185</v>
      </c>
      <c r="B27" s="111">
        <f>B10+B12+B14+B16+B18+B20+B7+B13+B8</f>
        <v>17500000</v>
      </c>
      <c r="C27" s="111">
        <f t="shared" ref="C27:K27" si="7">C10+C12+C14+C16+C18+C20+C7+C13</f>
        <v>57430747.91230768</v>
      </c>
      <c r="D27" s="111">
        <f t="shared" si="7"/>
        <v>85820996.387384608</v>
      </c>
      <c r="E27" s="111">
        <f t="shared" si="7"/>
        <v>93755281.384076938</v>
      </c>
      <c r="F27" s="111">
        <f t="shared" si="7"/>
        <v>100652137.82676925</v>
      </c>
      <c r="G27" s="111">
        <f t="shared" si="7"/>
        <v>107519824.31276153</v>
      </c>
      <c r="H27" s="111">
        <f t="shared" si="7"/>
        <v>112665318.00771885</v>
      </c>
      <c r="I27" s="111">
        <f t="shared" si="7"/>
        <v>119388422.21336445</v>
      </c>
      <c r="J27" s="111">
        <f t="shared" si="7"/>
        <v>123755966.75994791</v>
      </c>
      <c r="K27" s="111">
        <f t="shared" si="7"/>
        <v>130468211.43496649</v>
      </c>
      <c r="L27" s="111"/>
    </row>
    <row r="28" spans="1:12" x14ac:dyDescent="0.6">
      <c r="A28" s="111" t="s">
        <v>186</v>
      </c>
      <c r="B28" s="111">
        <f>B27*B24</f>
        <v>17500000</v>
      </c>
      <c r="C28" s="111">
        <f>C27*C24</f>
        <v>54179950.860667616</v>
      </c>
      <c r="D28" s="111">
        <f t="shared" ref="D28:K28" si="8">D27*D24</f>
        <v>76380381.263247237</v>
      </c>
      <c r="E28" s="111">
        <f t="shared" si="8"/>
        <v>78718742.13619037</v>
      </c>
      <c r="F28" s="111">
        <f t="shared" si="8"/>
        <v>79725920.563943774</v>
      </c>
      <c r="G28" s="111">
        <f t="shared" si="8"/>
        <v>80345067.462833628</v>
      </c>
      <c r="H28" s="111">
        <f t="shared" si="8"/>
        <v>79424603.471529469</v>
      </c>
      <c r="I28" s="111">
        <f t="shared" si="8"/>
        <v>79400119.477144957</v>
      </c>
      <c r="J28" s="111">
        <f t="shared" si="8"/>
        <v>77646024.572559178</v>
      </c>
      <c r="K28" s="111">
        <f t="shared" si="8"/>
        <v>77223933.887867093</v>
      </c>
      <c r="L28" s="111"/>
    </row>
    <row r="29" spans="1:12" x14ac:dyDescent="0.6">
      <c r="A29" s="111"/>
      <c r="B29" s="111"/>
      <c r="C29" s="111"/>
      <c r="D29" s="111"/>
      <c r="E29" s="111"/>
      <c r="F29" s="111"/>
      <c r="G29" s="111"/>
      <c r="H29" s="111"/>
      <c r="I29" s="111"/>
      <c r="J29" s="111"/>
      <c r="K29" s="111"/>
      <c r="L29" s="111"/>
    </row>
    <row r="30" spans="1:12" x14ac:dyDescent="0.6">
      <c r="A30" s="111" t="s">
        <v>187</v>
      </c>
      <c r="B30" s="111">
        <f>B25-B27</f>
        <v>5000000</v>
      </c>
      <c r="C30" s="111">
        <f>C25-C27</f>
        <v>7142916.0876923203</v>
      </c>
      <c r="D30" s="111">
        <f>D25-D27</f>
        <v>7207285.3003076911</v>
      </c>
      <c r="E30" s="111">
        <f t="shared" ref="E30:K30" si="9">E25-E27</f>
        <v>7652860.1162307709</v>
      </c>
      <c r="F30" s="111">
        <f t="shared" si="9"/>
        <v>8027727.4894615412</v>
      </c>
      <c r="G30" s="111">
        <f t="shared" si="9"/>
        <v>8361057.3767000139</v>
      </c>
      <c r="H30" s="111">
        <f t="shared" si="9"/>
        <v>10375042.568981156</v>
      </c>
      <c r="I30" s="111">
        <f t="shared" si="9"/>
        <v>12492072.555616736</v>
      </c>
      <c r="J30" s="111">
        <f t="shared" si="9"/>
        <v>17067706.995668843</v>
      </c>
      <c r="K30" s="111">
        <f t="shared" si="9"/>
        <v>21757245.760702327</v>
      </c>
      <c r="L30" s="111"/>
    </row>
    <row r="31" spans="1:12" x14ac:dyDescent="0.6">
      <c r="A31" s="111" t="s">
        <v>188</v>
      </c>
      <c r="B31" s="111">
        <f>B26-B28</f>
        <v>5000000</v>
      </c>
      <c r="C31" s="111">
        <f>C30*C24</f>
        <v>6738600.0827286039</v>
      </c>
      <c r="D31" s="111">
        <f t="shared" ref="D31:K31" si="10">D30*D24</f>
        <v>6414458.2594408067</v>
      </c>
      <c r="E31" s="111">
        <f t="shared" si="10"/>
        <v>6425488.9239361761</v>
      </c>
      <c r="F31" s="111">
        <f t="shared" si="10"/>
        <v>6358712.074604149</v>
      </c>
      <c r="G31" s="111">
        <f t="shared" si="10"/>
        <v>6247868.4585411195</v>
      </c>
      <c r="H31" s="111">
        <f t="shared" si="10"/>
        <v>7313995.6165136024</v>
      </c>
      <c r="I31" s="111">
        <f t="shared" si="10"/>
        <v>8307941.7169992663</v>
      </c>
      <c r="J31" s="111">
        <f t="shared" si="10"/>
        <v>10708490.51952007</v>
      </c>
      <c r="K31" s="111">
        <f t="shared" si="10"/>
        <v>12878080.336404856</v>
      </c>
      <c r="L31" s="111">
        <f>SUM(C31:K31)</f>
        <v>71393635.988688663</v>
      </c>
    </row>
    <row r="32" spans="1:12" x14ac:dyDescent="0.6">
      <c r="C32" s="52"/>
      <c r="D32" s="52"/>
      <c r="E32" s="52"/>
      <c r="F32" s="52"/>
      <c r="G32" s="52"/>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9"/>
  <sheetViews>
    <sheetView topLeftCell="A14" workbookViewId="0">
      <selection activeCell="B14" sqref="B14"/>
    </sheetView>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164</v>
      </c>
    </row>
    <row r="2" spans="1:10" s="5" customFormat="1" x14ac:dyDescent="0.6">
      <c r="A2" s="129" t="s">
        <v>3</v>
      </c>
      <c r="B2" s="137" t="s">
        <v>47</v>
      </c>
      <c r="C2" s="137"/>
      <c r="D2" s="137"/>
      <c r="E2" s="137"/>
      <c r="F2" s="137"/>
      <c r="G2" s="137"/>
      <c r="H2" s="137"/>
      <c r="I2" s="137"/>
      <c r="J2" s="137"/>
    </row>
    <row r="3" spans="1:10" s="5" customFormat="1" x14ac:dyDescent="0.6">
      <c r="A3" s="129"/>
      <c r="B3" s="123" t="s">
        <v>38</v>
      </c>
      <c r="C3" s="123" t="s">
        <v>39</v>
      </c>
      <c r="D3" s="123" t="s">
        <v>40</v>
      </c>
      <c r="E3" s="123" t="s">
        <v>41</v>
      </c>
      <c r="F3" s="123" t="s">
        <v>42</v>
      </c>
      <c r="G3" s="123" t="s">
        <v>43</v>
      </c>
      <c r="H3" s="123" t="s">
        <v>44</v>
      </c>
      <c r="I3" s="123" t="s">
        <v>45</v>
      </c>
      <c r="J3" s="123" t="s">
        <v>46</v>
      </c>
    </row>
    <row r="4" spans="1:10" x14ac:dyDescent="0.6">
      <c r="A4" s="7" t="s">
        <v>241</v>
      </c>
      <c r="B4" s="96">
        <v>0.6</v>
      </c>
      <c r="C4" s="96">
        <v>0.65</v>
      </c>
      <c r="D4" s="96">
        <v>0.7</v>
      </c>
      <c r="E4" s="96">
        <v>0.75</v>
      </c>
      <c r="F4" s="96">
        <v>0.8</v>
      </c>
      <c r="G4" s="96">
        <v>0.85</v>
      </c>
      <c r="H4" s="96">
        <v>0.9</v>
      </c>
      <c r="I4" s="96">
        <v>0.95</v>
      </c>
      <c r="J4" s="96">
        <v>1</v>
      </c>
    </row>
    <row r="5" spans="1:10" x14ac:dyDescent="0.6">
      <c r="A5" s="7" t="s">
        <v>272</v>
      </c>
      <c r="B5" s="97">
        <f>$B$14*B4</f>
        <v>5225760</v>
      </c>
      <c r="C5" s="97">
        <f t="shared" ref="C5:J5" si="0">$B$14*C4</f>
        <v>5661240</v>
      </c>
      <c r="D5" s="97">
        <f t="shared" si="0"/>
        <v>6096720</v>
      </c>
      <c r="E5" s="97">
        <f t="shared" si="0"/>
        <v>6532200</v>
      </c>
      <c r="F5" s="97">
        <f t="shared" si="0"/>
        <v>6967680</v>
      </c>
      <c r="G5" s="97">
        <f t="shared" si="0"/>
        <v>7403160</v>
      </c>
      <c r="H5" s="97">
        <f t="shared" si="0"/>
        <v>7838640</v>
      </c>
      <c r="I5" s="97">
        <f t="shared" si="0"/>
        <v>8274120</v>
      </c>
      <c r="J5" s="97">
        <f t="shared" si="0"/>
        <v>8709600</v>
      </c>
    </row>
    <row r="6" spans="1:10" x14ac:dyDescent="0.6">
      <c r="A6" s="7" t="s">
        <v>269</v>
      </c>
      <c r="B6" s="97">
        <f>B5*2/3</f>
        <v>3483840</v>
      </c>
      <c r="C6" s="97">
        <f t="shared" ref="C6:J6" si="1">C5*2/3</f>
        <v>3774160</v>
      </c>
      <c r="D6" s="97">
        <f t="shared" si="1"/>
        <v>4064480</v>
      </c>
      <c r="E6" s="97">
        <f t="shared" si="1"/>
        <v>4354800</v>
      </c>
      <c r="F6" s="97">
        <f t="shared" si="1"/>
        <v>4645120</v>
      </c>
      <c r="G6" s="97">
        <f t="shared" si="1"/>
        <v>4935440</v>
      </c>
      <c r="H6" s="97">
        <f t="shared" si="1"/>
        <v>5225760</v>
      </c>
      <c r="I6" s="97">
        <f t="shared" si="1"/>
        <v>5516080</v>
      </c>
      <c r="J6" s="97">
        <f t="shared" si="1"/>
        <v>5806400</v>
      </c>
    </row>
    <row r="7" spans="1:10" x14ac:dyDescent="0.6">
      <c r="A7" s="7" t="s">
        <v>284</v>
      </c>
      <c r="B7" s="72">
        <f>B5-B6</f>
        <v>1741920</v>
      </c>
      <c r="C7" s="72">
        <f t="shared" ref="C7:J7" si="2">C5-C6</f>
        <v>1887080</v>
      </c>
      <c r="D7" s="72">
        <f t="shared" si="2"/>
        <v>2032240</v>
      </c>
      <c r="E7" s="72">
        <f t="shared" si="2"/>
        <v>2177400</v>
      </c>
      <c r="F7" s="72">
        <f t="shared" si="2"/>
        <v>2322560</v>
      </c>
      <c r="G7" s="72">
        <f t="shared" si="2"/>
        <v>2467720</v>
      </c>
      <c r="H7" s="72">
        <f t="shared" si="2"/>
        <v>2612880</v>
      </c>
      <c r="I7" s="72">
        <f t="shared" si="2"/>
        <v>2758040</v>
      </c>
      <c r="J7" s="72">
        <f t="shared" si="2"/>
        <v>2903200</v>
      </c>
    </row>
    <row r="8" spans="1:10" x14ac:dyDescent="0.6">
      <c r="A8" s="7" t="s">
        <v>270</v>
      </c>
      <c r="B8" s="72">
        <f>B6*$C$18</f>
        <v>73160640</v>
      </c>
      <c r="C8" s="72">
        <f>C6*$C$18*1.1</f>
        <v>87183096</v>
      </c>
      <c r="D8" s="72">
        <f t="shared" ref="D8:J8" si="3">D6*$C$18*1.1</f>
        <v>93889488.000000015</v>
      </c>
      <c r="E8" s="72">
        <f t="shared" si="3"/>
        <v>100595880.00000001</v>
      </c>
      <c r="F8" s="72">
        <f t="shared" si="3"/>
        <v>107302272.00000001</v>
      </c>
      <c r="G8" s="72">
        <f t="shared" si="3"/>
        <v>114008664.00000001</v>
      </c>
      <c r="H8" s="72">
        <f t="shared" si="3"/>
        <v>120715056.00000001</v>
      </c>
      <c r="I8" s="72">
        <f t="shared" si="3"/>
        <v>127421448.00000001</v>
      </c>
      <c r="J8" s="72">
        <f t="shared" si="3"/>
        <v>134127840.00000001</v>
      </c>
    </row>
    <row r="9" spans="1:10" x14ac:dyDescent="0.6">
      <c r="A9" s="7" t="s">
        <v>285</v>
      </c>
      <c r="B9" s="72">
        <f>B7*$E$18</f>
        <v>1306440</v>
      </c>
      <c r="C9" s="72">
        <f>C7*$E$18*1.1</f>
        <v>1556841.0000000002</v>
      </c>
      <c r="D9" s="72">
        <f t="shared" ref="D9:J9" si="4">D7*$E$18*1.1</f>
        <v>1676598.0000000002</v>
      </c>
      <c r="E9" s="72">
        <f t="shared" si="4"/>
        <v>1796355.0000000002</v>
      </c>
      <c r="F9" s="72">
        <f t="shared" si="4"/>
        <v>1916112.0000000002</v>
      </c>
      <c r="G9" s="72">
        <f t="shared" si="4"/>
        <v>2035869.0000000002</v>
      </c>
      <c r="H9" s="72">
        <f t="shared" si="4"/>
        <v>2155626</v>
      </c>
      <c r="I9" s="72">
        <f t="shared" si="4"/>
        <v>2275383</v>
      </c>
      <c r="J9" s="72">
        <f t="shared" si="4"/>
        <v>2395140</v>
      </c>
    </row>
    <row r="10" spans="1:10" x14ac:dyDescent="0.6">
      <c r="A10" s="7" t="s">
        <v>271</v>
      </c>
      <c r="B10" s="72">
        <f>B9+B8</f>
        <v>74467080</v>
      </c>
      <c r="C10" s="72">
        <f t="shared" ref="C10:J10" si="5">C9+C8</f>
        <v>88739937</v>
      </c>
      <c r="D10" s="72">
        <f t="shared" si="5"/>
        <v>95566086.000000015</v>
      </c>
      <c r="E10" s="72">
        <f t="shared" si="5"/>
        <v>102392235.00000001</v>
      </c>
      <c r="F10" s="72">
        <f t="shared" si="5"/>
        <v>109218384.00000001</v>
      </c>
      <c r="G10" s="72">
        <f t="shared" si="5"/>
        <v>116044533.00000001</v>
      </c>
      <c r="H10" s="72">
        <f t="shared" si="5"/>
        <v>122870682.00000001</v>
      </c>
      <c r="I10" s="72">
        <f t="shared" si="5"/>
        <v>129696831.00000001</v>
      </c>
      <c r="J10" s="72">
        <f t="shared" si="5"/>
        <v>136522980</v>
      </c>
    </row>
    <row r="11" spans="1:10" x14ac:dyDescent="0.6">
      <c r="B11" s="32"/>
      <c r="C11" s="32"/>
      <c r="D11" s="32"/>
      <c r="E11" s="32"/>
      <c r="F11" s="32"/>
      <c r="G11" s="32"/>
      <c r="H11" s="32"/>
      <c r="I11" s="32"/>
      <c r="J11" s="32"/>
    </row>
    <row r="12" spans="1:10" x14ac:dyDescent="0.6">
      <c r="A12" s="5" t="s">
        <v>260</v>
      </c>
    </row>
    <row r="14" spans="1:10" x14ac:dyDescent="0.6">
      <c r="A14" s="6" t="s">
        <v>240</v>
      </c>
      <c r="B14" s="87">
        <f>3629*8*300</f>
        <v>8709600</v>
      </c>
      <c r="C14" s="98" t="s">
        <v>311</v>
      </c>
      <c r="E14" s="99"/>
    </row>
    <row r="15" spans="1:10" x14ac:dyDescent="0.6">
      <c r="A15" s="6" t="s">
        <v>256</v>
      </c>
      <c r="B15" s="100" t="s">
        <v>286</v>
      </c>
    </row>
    <row r="17" spans="1:10" s="105" customFormat="1" ht="58" customHeight="1" x14ac:dyDescent="0.35">
      <c r="A17" s="101" t="s">
        <v>165</v>
      </c>
      <c r="B17" s="102" t="s">
        <v>166</v>
      </c>
      <c r="C17" s="103" t="s">
        <v>258</v>
      </c>
      <c r="D17" s="102" t="s">
        <v>257</v>
      </c>
      <c r="E17" s="104" t="s">
        <v>282</v>
      </c>
    </row>
    <row r="18" spans="1:10" s="105" customFormat="1" x14ac:dyDescent="0.35">
      <c r="A18" s="101" t="s">
        <v>167</v>
      </c>
      <c r="B18" s="106">
        <f>B14</f>
        <v>8709600</v>
      </c>
      <c r="C18" s="107">
        <v>21</v>
      </c>
      <c r="D18" s="108">
        <v>18.5</v>
      </c>
      <c r="E18" s="109">
        <v>0.75</v>
      </c>
    </row>
    <row r="20" spans="1:10" x14ac:dyDescent="0.6">
      <c r="A20" s="5" t="s">
        <v>259</v>
      </c>
      <c r="B20" s="138" t="s">
        <v>47</v>
      </c>
      <c r="C20" s="138"/>
      <c r="D20" s="138"/>
      <c r="E20" s="138"/>
      <c r="F20" s="138"/>
      <c r="G20" s="138"/>
      <c r="H20" s="138"/>
      <c r="I20" s="138"/>
      <c r="J20" s="138"/>
    </row>
    <row r="21" spans="1:10" x14ac:dyDescent="0.6">
      <c r="A21" s="7"/>
      <c r="B21" s="110" t="s">
        <v>38</v>
      </c>
      <c r="C21" s="110" t="s">
        <v>39</v>
      </c>
      <c r="D21" s="110" t="s">
        <v>40</v>
      </c>
      <c r="E21" s="110" t="s">
        <v>41</v>
      </c>
      <c r="F21" s="110" t="s">
        <v>42</v>
      </c>
      <c r="G21" s="110" t="s">
        <v>43</v>
      </c>
      <c r="H21" s="110" t="s">
        <v>44</v>
      </c>
      <c r="I21" s="110" t="s">
        <v>45</v>
      </c>
      <c r="J21" s="110" t="s">
        <v>46</v>
      </c>
    </row>
    <row r="22" spans="1:10" x14ac:dyDescent="0.6">
      <c r="A22" s="7" t="s">
        <v>261</v>
      </c>
      <c r="B22" s="84">
        <v>0</v>
      </c>
      <c r="C22" s="73">
        <f>B25</f>
        <v>34838.399999999907</v>
      </c>
      <c r="D22" s="73">
        <f t="shared" ref="D22:J22" si="6">C25</f>
        <v>72580</v>
      </c>
      <c r="E22" s="73">
        <f t="shared" si="6"/>
        <v>113224.79999999981</v>
      </c>
      <c r="F22" s="73">
        <f t="shared" si="6"/>
        <v>156772.79999999981</v>
      </c>
      <c r="G22" s="73">
        <f t="shared" si="6"/>
        <v>203224</v>
      </c>
      <c r="H22" s="73">
        <f t="shared" si="6"/>
        <v>153869.59999999963</v>
      </c>
      <c r="I22" s="73">
        <f t="shared" si="6"/>
        <v>101612</v>
      </c>
      <c r="J22" s="73">
        <f t="shared" si="6"/>
        <v>46451.200000000186</v>
      </c>
    </row>
    <row r="23" spans="1:10" x14ac:dyDescent="0.6">
      <c r="A23" s="7" t="s">
        <v>262</v>
      </c>
      <c r="B23" s="73">
        <f>B6</f>
        <v>3483840</v>
      </c>
      <c r="C23" s="73">
        <f t="shared" ref="C23:J23" si="7">C6</f>
        <v>3774160</v>
      </c>
      <c r="D23" s="73">
        <f t="shared" si="7"/>
        <v>4064480</v>
      </c>
      <c r="E23" s="73">
        <f t="shared" si="7"/>
        <v>4354800</v>
      </c>
      <c r="F23" s="73">
        <f t="shared" si="7"/>
        <v>4645120</v>
      </c>
      <c r="G23" s="73">
        <f t="shared" si="7"/>
        <v>4935440</v>
      </c>
      <c r="H23" s="73">
        <f t="shared" si="7"/>
        <v>5225760</v>
      </c>
      <c r="I23" s="73">
        <f t="shared" si="7"/>
        <v>5516080</v>
      </c>
      <c r="J23" s="73">
        <f t="shared" si="7"/>
        <v>5806400</v>
      </c>
    </row>
    <row r="24" spans="1:10" x14ac:dyDescent="0.6">
      <c r="A24" s="7" t="s">
        <v>49</v>
      </c>
      <c r="B24" s="73">
        <f>B6*99%</f>
        <v>3449001.6</v>
      </c>
      <c r="C24" s="73">
        <f t="shared" ref="C24:F24" si="8">C6*99%</f>
        <v>3736418.4</v>
      </c>
      <c r="D24" s="73">
        <f t="shared" si="8"/>
        <v>4023835.2</v>
      </c>
      <c r="E24" s="73">
        <f t="shared" si="8"/>
        <v>4311252</v>
      </c>
      <c r="F24" s="73">
        <f t="shared" si="8"/>
        <v>4598668.8</v>
      </c>
      <c r="G24" s="73">
        <f>G6*101%</f>
        <v>4984794.4000000004</v>
      </c>
      <c r="H24" s="73">
        <f t="shared" ref="H24:J24" si="9">H6*101%</f>
        <v>5278017.5999999996</v>
      </c>
      <c r="I24" s="73">
        <f t="shared" si="9"/>
        <v>5571240.7999999998</v>
      </c>
      <c r="J24" s="73">
        <f t="shared" si="9"/>
        <v>5864464</v>
      </c>
    </row>
    <row r="25" spans="1:10" x14ac:dyDescent="0.6">
      <c r="A25" s="7" t="s">
        <v>263</v>
      </c>
      <c r="B25" s="73">
        <f>B22+B23-B24</f>
        <v>34838.399999999907</v>
      </c>
      <c r="C25" s="73">
        <f t="shared" ref="C25:J25" si="10">C22+C23-C24</f>
        <v>72580</v>
      </c>
      <c r="D25" s="73">
        <f t="shared" si="10"/>
        <v>113224.79999999981</v>
      </c>
      <c r="E25" s="73">
        <f t="shared" si="10"/>
        <v>156772.79999999981</v>
      </c>
      <c r="F25" s="73">
        <f t="shared" si="10"/>
        <v>203224</v>
      </c>
      <c r="G25" s="73">
        <f t="shared" si="10"/>
        <v>153869.59999999963</v>
      </c>
      <c r="H25" s="73">
        <f t="shared" si="10"/>
        <v>101612</v>
      </c>
      <c r="I25" s="73">
        <f t="shared" si="10"/>
        <v>46451.200000000186</v>
      </c>
      <c r="J25" s="73">
        <f t="shared" si="10"/>
        <v>-11612.799999999814</v>
      </c>
    </row>
    <row r="27" spans="1:10" ht="38" customHeight="1" x14ac:dyDescent="0.6">
      <c r="A27" s="134" t="s">
        <v>287</v>
      </c>
      <c r="B27" s="134"/>
      <c r="C27" s="134"/>
      <c r="D27" s="134"/>
      <c r="E27" s="134"/>
      <c r="F27" s="134"/>
      <c r="G27" s="134"/>
      <c r="H27" s="134"/>
      <c r="I27" s="134"/>
      <c r="J27" s="134"/>
    </row>
    <row r="28" spans="1:10" ht="28.5" customHeight="1" x14ac:dyDescent="0.6">
      <c r="A28" s="134" t="s">
        <v>288</v>
      </c>
      <c r="B28" s="134"/>
      <c r="C28" s="134"/>
      <c r="D28" s="134"/>
      <c r="E28" s="134"/>
      <c r="F28" s="134"/>
      <c r="G28" s="134"/>
      <c r="H28" s="134"/>
      <c r="I28" s="134"/>
      <c r="J28" s="134"/>
    </row>
    <row r="29" spans="1:10" x14ac:dyDescent="0.6">
      <c r="A29" s="6" t="s">
        <v>290</v>
      </c>
    </row>
  </sheetData>
  <mergeCells count="5">
    <mergeCell ref="B2:J2"/>
    <mergeCell ref="B20:J20"/>
    <mergeCell ref="A27:J27"/>
    <mergeCell ref="A28:J28"/>
    <mergeCell ref="A2:A3"/>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38</v>
      </c>
      <c r="C2" s="6" t="s">
        <v>39</v>
      </c>
      <c r="D2" s="6" t="s">
        <v>40</v>
      </c>
      <c r="E2" s="6" t="s">
        <v>41</v>
      </c>
      <c r="F2" s="6" t="s">
        <v>42</v>
      </c>
      <c r="G2" s="6" t="s">
        <v>43</v>
      </c>
      <c r="H2" s="6" t="s">
        <v>44</v>
      </c>
      <c r="I2" s="6" t="s">
        <v>45</v>
      </c>
      <c r="J2" s="6" t="s">
        <v>46</v>
      </c>
    </row>
    <row r="3" spans="1:10" x14ac:dyDescent="0.6">
      <c r="A3" s="6" t="s">
        <v>189</v>
      </c>
      <c r="B3" s="32">
        <f>'Ann 4'!C23/100000</f>
        <v>744.67079999999999</v>
      </c>
      <c r="C3" s="32">
        <f>'Ann 4'!D23/100000</f>
        <v>887.39936999999998</v>
      </c>
      <c r="D3" s="32">
        <f>'Ann 4'!E23/100000</f>
        <v>955.66086000000018</v>
      </c>
      <c r="E3" s="32">
        <f>'Ann 4'!F23/100000</f>
        <v>1023.9223500000002</v>
      </c>
      <c r="F3" s="32">
        <f>'Ann 4'!G23/100000</f>
        <v>1092.1838400000001</v>
      </c>
      <c r="G3" s="32">
        <f>'Ann 4'!H23/100000</f>
        <v>1160.4453300000002</v>
      </c>
      <c r="H3" s="32">
        <f>'Ann 4'!I23/100000</f>
        <v>1228.7068200000001</v>
      </c>
      <c r="I3" s="32">
        <f>'Ann 4'!J23/100000</f>
        <v>1296.9683100000002</v>
      </c>
      <c r="J3" s="32">
        <f>'Ann 4'!K23/100000</f>
        <v>1365.2298000000001</v>
      </c>
    </row>
    <row r="4" spans="1:10" x14ac:dyDescent="0.6">
      <c r="A4" s="6" t="s">
        <v>190</v>
      </c>
      <c r="B4" s="32">
        <f>'Ann 4'!C22/100000</f>
        <v>649.04107999999997</v>
      </c>
      <c r="C4" s="32">
        <f>'Ann 4'!D22/100000</f>
        <v>743.29560549999997</v>
      </c>
      <c r="D4" s="32">
        <f>'Ann 4'!E22/100000</f>
        <v>798.02180900000008</v>
      </c>
      <c r="E4" s="32">
        <f>'Ann 4'!F22/100000</f>
        <v>852.92197650000003</v>
      </c>
      <c r="F4" s="32">
        <f>'Ann 4'!G22/100000</f>
        <v>908.00480620000008</v>
      </c>
      <c r="G4" s="32">
        <f>'Ann 4'!H22/100000</f>
        <v>983.02119121000032</v>
      </c>
      <c r="H4" s="32">
        <f>'Ann 4'!I22/100000</f>
        <v>1039.6584812955</v>
      </c>
      <c r="I4" s="32">
        <f>'Ann 4'!J22/100000</f>
        <v>1096.507225710275</v>
      </c>
      <c r="J4" s="32">
        <f>'Ann 4'!K22/100000</f>
        <v>1153.5779971707886</v>
      </c>
    </row>
    <row r="5" spans="1:10" x14ac:dyDescent="0.6">
      <c r="A5" s="6" t="s">
        <v>191</v>
      </c>
      <c r="B5" s="32">
        <f>B3-B4</f>
        <v>95.62972000000002</v>
      </c>
      <c r="C5" s="32">
        <f t="shared" ref="C5:J5" si="0">C3-C4</f>
        <v>144.10376450000001</v>
      </c>
      <c r="D5" s="32">
        <f t="shared" si="0"/>
        <v>157.63905100000011</v>
      </c>
      <c r="E5" s="32">
        <f t="shared" si="0"/>
        <v>171.00037350000014</v>
      </c>
      <c r="F5" s="32">
        <f t="shared" si="0"/>
        <v>184.17903380000007</v>
      </c>
      <c r="G5" s="32">
        <f t="shared" si="0"/>
        <v>177.42413878999992</v>
      </c>
      <c r="H5" s="32">
        <f t="shared" si="0"/>
        <v>189.04833870450011</v>
      </c>
      <c r="I5" s="32">
        <f t="shared" si="0"/>
        <v>200.46108428972525</v>
      </c>
      <c r="J5" s="32">
        <f t="shared" si="0"/>
        <v>211.65180282921142</v>
      </c>
    </row>
    <row r="6" spans="1:10" x14ac:dyDescent="0.6">
      <c r="A6" s="6" t="s">
        <v>192</v>
      </c>
      <c r="B6" s="32">
        <f>B5</f>
        <v>95.62972000000002</v>
      </c>
      <c r="C6" s="32">
        <f t="shared" ref="C6:J6" si="1">C5</f>
        <v>144.10376450000001</v>
      </c>
      <c r="D6" s="32">
        <f t="shared" si="1"/>
        <v>157.63905100000011</v>
      </c>
      <c r="E6" s="32">
        <f t="shared" si="1"/>
        <v>171.00037350000014</v>
      </c>
      <c r="F6" s="32">
        <f t="shared" si="1"/>
        <v>184.17903380000007</v>
      </c>
      <c r="G6" s="32">
        <f t="shared" si="1"/>
        <v>177.42413878999992</v>
      </c>
      <c r="H6" s="32">
        <f t="shared" si="1"/>
        <v>189.04833870450011</v>
      </c>
      <c r="I6" s="32">
        <f t="shared" si="1"/>
        <v>200.46108428972525</v>
      </c>
      <c r="J6" s="32">
        <f t="shared" si="1"/>
        <v>211.65180282921142</v>
      </c>
    </row>
    <row r="7" spans="1:10" x14ac:dyDescent="0.6">
      <c r="A7" s="6" t="s">
        <v>193</v>
      </c>
      <c r="B7" s="90">
        <f>'Ann 4'!C34/100000</f>
        <v>56.16770076923077</v>
      </c>
      <c r="C7" s="90">
        <f>'Ann 4'!D34/100000</f>
        <v>110.27549526923079</v>
      </c>
      <c r="D7" s="90">
        <f>'Ann 4'!E34/100000</f>
        <v>128.20197407692316</v>
      </c>
      <c r="E7" s="90">
        <f>'Ann 4'!F34/100000</f>
        <v>145.52226388461548</v>
      </c>
      <c r="F7" s="90">
        <f>'Ann 4'!G34/100000</f>
        <v>162.29097024230779</v>
      </c>
      <c r="G7" s="90">
        <f>'Ann 4'!H34/100000</f>
        <v>158.81116122749978</v>
      </c>
      <c r="H7" s="90">
        <f>'Ann 4'!I34/100000</f>
        <v>173.44149178406752</v>
      </c>
      <c r="I7" s="90">
        <f>'Ann 4'!J34/100000</f>
        <v>187.10275597581887</v>
      </c>
      <c r="J7" s="90">
        <f>'Ann 4'!K34/100000</f>
        <v>199.46591328939104</v>
      </c>
    </row>
    <row r="8" spans="1:10" x14ac:dyDescent="0.6">
      <c r="A8" s="6" t="s">
        <v>194</v>
      </c>
      <c r="B8" s="90">
        <f>'Ann 4'!C36/100000</f>
        <v>39.017390538461541</v>
      </c>
      <c r="C8" s="90">
        <f>'Ann 4'!D36/100000</f>
        <v>77.192846688461557</v>
      </c>
      <c r="D8" s="90">
        <f>'Ann 4'!E36/100000</f>
        <v>89.741381853846221</v>
      </c>
      <c r="E8" s="90">
        <f>'Ann 4'!F36/100000</f>
        <v>101.86558471923082</v>
      </c>
      <c r="F8" s="90">
        <f>'Ann 4'!G36/100000</f>
        <v>113.60367916961545</v>
      </c>
      <c r="G8" s="90">
        <f>'Ann 4'!H36/100000</f>
        <v>111.16781285924986</v>
      </c>
      <c r="H8" s="90">
        <f>'Ann 4'!I36/100000</f>
        <v>121.40904424884727</v>
      </c>
      <c r="I8" s="90">
        <f>'Ann 4'!J36/100000</f>
        <v>130.9719291830732</v>
      </c>
      <c r="J8" s="90">
        <f>'Ann 4'!K36/100000</f>
        <v>139.62613930257373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topLeftCell="C1" workbookViewId="0">
      <selection activeCell="D5" sqref="D5"/>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214</v>
      </c>
      <c r="B1" s="5" t="s">
        <v>215</v>
      </c>
    </row>
    <row r="2" spans="1:12" x14ac:dyDescent="0.6">
      <c r="A2" s="6">
        <v>1</v>
      </c>
      <c r="B2" s="6" t="s">
        <v>309</v>
      </c>
    </row>
    <row r="3" spans="1:12" x14ac:dyDescent="0.6">
      <c r="A3" s="6">
        <v>2</v>
      </c>
      <c r="B3" s="6" t="s">
        <v>216</v>
      </c>
    </row>
    <row r="4" spans="1:12" x14ac:dyDescent="0.6">
      <c r="C4" s="6" t="s">
        <v>169</v>
      </c>
      <c r="D4" s="6">
        <v>80000</v>
      </c>
      <c r="E4" s="6">
        <f>D4*1.05</f>
        <v>84000</v>
      </c>
      <c r="F4" s="6">
        <f t="shared" ref="F4:I4" si="0">E4*1.05</f>
        <v>88200</v>
      </c>
      <c r="G4" s="6">
        <f t="shared" si="0"/>
        <v>92610</v>
      </c>
      <c r="H4" s="6">
        <f t="shared" si="0"/>
        <v>97240.5</v>
      </c>
      <c r="I4" s="6">
        <f t="shared" si="0"/>
        <v>102102.52500000001</v>
      </c>
      <c r="J4" s="6">
        <f t="shared" ref="J4" si="1">I4*1.05</f>
        <v>107207.65125000001</v>
      </c>
      <c r="K4" s="6">
        <f t="shared" ref="K4" si="2">J4*1.05</f>
        <v>112568.03381250001</v>
      </c>
      <c r="L4" s="6">
        <f t="shared" ref="L4" si="3">K4*1.05</f>
        <v>118196.43550312502</v>
      </c>
    </row>
    <row r="5" spans="1:12" x14ac:dyDescent="0.6">
      <c r="C5" s="6" t="s">
        <v>71</v>
      </c>
      <c r="D5" s="6">
        <f>D4*14</f>
        <v>1120000</v>
      </c>
      <c r="E5" s="6">
        <f t="shared" ref="E5:L5" si="4">E4*14</f>
        <v>1176000</v>
      </c>
      <c r="F5" s="6">
        <f t="shared" si="4"/>
        <v>1234800</v>
      </c>
      <c r="G5" s="6">
        <f t="shared" si="4"/>
        <v>1296540</v>
      </c>
      <c r="H5" s="6">
        <f t="shared" si="4"/>
        <v>1361367</v>
      </c>
      <c r="I5" s="6">
        <f t="shared" si="4"/>
        <v>1429435.35</v>
      </c>
      <c r="J5" s="6">
        <f t="shared" si="4"/>
        <v>1500907.1175000002</v>
      </c>
      <c r="K5" s="6">
        <f t="shared" si="4"/>
        <v>1575952.4733750001</v>
      </c>
      <c r="L5" s="6">
        <f t="shared" si="4"/>
        <v>1654750.0970437503</v>
      </c>
    </row>
    <row r="6" spans="1:12" x14ac:dyDescent="0.6">
      <c r="A6" s="6">
        <v>3</v>
      </c>
      <c r="B6" s="6" t="s">
        <v>268</v>
      </c>
    </row>
    <row r="7" spans="1:12" x14ac:dyDescent="0.6">
      <c r="A7" s="6">
        <v>4</v>
      </c>
      <c r="B7" s="6" t="s">
        <v>279</v>
      </c>
    </row>
    <row r="8" spans="1:12" x14ac:dyDescent="0.6">
      <c r="A8" s="6">
        <v>5</v>
      </c>
      <c r="B8" s="6" t="s">
        <v>253</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138</v>
      </c>
    </row>
    <row r="2" spans="1:11" x14ac:dyDescent="0.35">
      <c r="C2" t="s">
        <v>38</v>
      </c>
      <c r="D2" t="s">
        <v>39</v>
      </c>
      <c r="E2" t="s">
        <v>40</v>
      </c>
      <c r="F2" t="s">
        <v>41</v>
      </c>
      <c r="G2" t="s">
        <v>42</v>
      </c>
      <c r="H2" t="s">
        <v>43</v>
      </c>
      <c r="I2" t="s">
        <v>44</v>
      </c>
      <c r="J2" t="s">
        <v>45</v>
      </c>
      <c r="K2" t="s">
        <v>46</v>
      </c>
    </row>
    <row r="3" spans="1:11" x14ac:dyDescent="0.35">
      <c r="A3" t="s">
        <v>139</v>
      </c>
      <c r="C3">
        <f>'Ann 4'!C23/300*270</f>
        <v>67020372</v>
      </c>
      <c r="D3">
        <f>'Ann 4'!D23/300*270</f>
        <v>79865943.299999997</v>
      </c>
      <c r="E3">
        <f>'Ann 4'!E23/300*270</f>
        <v>86009477.400000021</v>
      </c>
      <c r="F3">
        <f>'Ann 4'!F23/300*270</f>
        <v>92153011.500000015</v>
      </c>
      <c r="G3">
        <f>'Ann 4'!G23/300*270</f>
        <v>98296545.600000009</v>
      </c>
      <c r="H3">
        <f>'Ann 4'!H23/300*270</f>
        <v>104440079.70000002</v>
      </c>
      <c r="I3">
        <f>'Ann 4'!I23/300*270</f>
        <v>110583613.80000001</v>
      </c>
      <c r="J3">
        <f>'Ann 4'!J23/300*270</f>
        <v>116727147.90000002</v>
      </c>
      <c r="K3">
        <f>'Ann 4'!K23/300*270</f>
        <v>122870682</v>
      </c>
    </row>
    <row r="4" spans="1:11" x14ac:dyDescent="0.35">
      <c r="A4" t="s">
        <v>140</v>
      </c>
      <c r="C4">
        <v>5000000</v>
      </c>
    </row>
    <row r="5" spans="1:11" x14ac:dyDescent="0.35">
      <c r="A5" t="s">
        <v>141</v>
      </c>
      <c r="C5">
        <v>21492978</v>
      </c>
    </row>
    <row r="7" spans="1:11" x14ac:dyDescent="0.35">
      <c r="A7" t="s">
        <v>142</v>
      </c>
      <c r="C7">
        <f>'Ann 3'!E21</f>
        <v>17400000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workbookViewId="0"/>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217</v>
      </c>
    </row>
    <row r="3" spans="1:3" x14ac:dyDescent="0.6">
      <c r="A3" s="5" t="s">
        <v>0</v>
      </c>
    </row>
    <row r="5" spans="1:3" x14ac:dyDescent="0.6">
      <c r="A5" s="24" t="s">
        <v>1</v>
      </c>
      <c r="B5" s="25"/>
      <c r="C5" s="26"/>
    </row>
    <row r="6" spans="1:3" ht="34" x14ac:dyDescent="0.6">
      <c r="A6" s="27" t="s">
        <v>2</v>
      </c>
      <c r="B6" s="27" t="s">
        <v>3</v>
      </c>
      <c r="C6" s="28" t="s">
        <v>4</v>
      </c>
    </row>
    <row r="7" spans="1:3" x14ac:dyDescent="0.6">
      <c r="A7" s="11">
        <v>1</v>
      </c>
      <c r="B7" s="12" t="s">
        <v>6</v>
      </c>
      <c r="C7" s="13"/>
    </row>
    <row r="8" spans="1:3" x14ac:dyDescent="0.6">
      <c r="A8" s="11" t="s">
        <v>5</v>
      </c>
      <c r="B8" s="12" t="s">
        <v>291</v>
      </c>
      <c r="C8" s="14">
        <v>0</v>
      </c>
    </row>
    <row r="9" spans="1:3" x14ac:dyDescent="0.6">
      <c r="A9" s="11"/>
      <c r="B9" s="12" t="s">
        <v>7</v>
      </c>
      <c r="C9" s="14">
        <f>SUM(C8)</f>
        <v>0</v>
      </c>
    </row>
    <row r="10" spans="1:3" x14ac:dyDescent="0.6">
      <c r="A10" s="11"/>
      <c r="B10" s="12"/>
      <c r="C10" s="13"/>
    </row>
    <row r="11" spans="1:3" x14ac:dyDescent="0.6">
      <c r="A11" s="11">
        <v>2</v>
      </c>
      <c r="B11" s="12" t="s">
        <v>163</v>
      </c>
      <c r="C11" s="14">
        <v>0</v>
      </c>
    </row>
    <row r="12" spans="1:3" x14ac:dyDescent="0.6">
      <c r="A12" s="11" t="s">
        <v>5</v>
      </c>
      <c r="B12" s="12" t="s">
        <v>7</v>
      </c>
      <c r="C12" s="14">
        <f>C11</f>
        <v>0</v>
      </c>
    </row>
    <row r="13" spans="1:3" x14ac:dyDescent="0.6">
      <c r="A13" s="11"/>
      <c r="B13" s="12"/>
      <c r="C13" s="13"/>
    </row>
    <row r="14" spans="1:3" x14ac:dyDescent="0.6">
      <c r="A14" s="11">
        <v>3</v>
      </c>
      <c r="B14" s="12" t="s">
        <v>8</v>
      </c>
      <c r="C14" s="13"/>
    </row>
    <row r="15" spans="1:3" x14ac:dyDescent="0.6">
      <c r="A15" s="11" t="s">
        <v>5</v>
      </c>
      <c r="B15" s="12" t="s">
        <v>8</v>
      </c>
      <c r="C15" s="15">
        <f>'Ann 3'!E5/100000</f>
        <v>32</v>
      </c>
    </row>
    <row r="16" spans="1:3" x14ac:dyDescent="0.6">
      <c r="A16" s="11"/>
      <c r="B16" s="12" t="s">
        <v>7</v>
      </c>
      <c r="C16" s="15">
        <f>C15</f>
        <v>32</v>
      </c>
    </row>
    <row r="17" spans="1:3" x14ac:dyDescent="0.6">
      <c r="A17" s="11"/>
      <c r="B17" s="12"/>
      <c r="C17" s="13"/>
    </row>
    <row r="18" spans="1:3" x14ac:dyDescent="0.6">
      <c r="A18" s="11">
        <v>4</v>
      </c>
      <c r="B18" s="12" t="s">
        <v>9</v>
      </c>
      <c r="C18" s="13"/>
    </row>
    <row r="19" spans="1:3" x14ac:dyDescent="0.6">
      <c r="A19" s="11" t="s">
        <v>5</v>
      </c>
      <c r="B19" s="12" t="s">
        <v>10</v>
      </c>
      <c r="C19" s="15">
        <f>'Ann 3'!E17/100000</f>
        <v>140</v>
      </c>
    </row>
    <row r="20" spans="1:3" x14ac:dyDescent="0.6">
      <c r="A20" s="11"/>
      <c r="B20" s="12" t="s">
        <v>7</v>
      </c>
      <c r="C20" s="16">
        <f>C19</f>
        <v>140</v>
      </c>
    </row>
    <row r="21" spans="1:3" x14ac:dyDescent="0.6">
      <c r="A21" s="11"/>
      <c r="B21" s="12"/>
      <c r="C21" s="13"/>
    </row>
    <row r="22" spans="1:3" x14ac:dyDescent="0.6">
      <c r="A22" s="11">
        <v>5</v>
      </c>
      <c r="B22" s="12" t="s">
        <v>11</v>
      </c>
      <c r="C22" s="13"/>
    </row>
    <row r="23" spans="1:3" x14ac:dyDescent="0.6">
      <c r="A23" s="11" t="s">
        <v>5</v>
      </c>
      <c r="B23" s="12" t="s">
        <v>12</v>
      </c>
      <c r="C23" s="14">
        <f>'Ann 3'!E19/100000</f>
        <v>2</v>
      </c>
    </row>
    <row r="24" spans="1:3" x14ac:dyDescent="0.6">
      <c r="A24" s="11"/>
      <c r="B24" s="12"/>
      <c r="C24" s="14"/>
    </row>
    <row r="25" spans="1:3" x14ac:dyDescent="0.6">
      <c r="A25" s="11">
        <v>6</v>
      </c>
      <c r="B25" s="12" t="s">
        <v>13</v>
      </c>
      <c r="C25" s="14">
        <v>50</v>
      </c>
    </row>
    <row r="26" spans="1:3" x14ac:dyDescent="0.6">
      <c r="A26" s="11"/>
      <c r="B26" s="12"/>
      <c r="C26" s="14"/>
    </row>
    <row r="27" spans="1:3" x14ac:dyDescent="0.6">
      <c r="A27" s="11">
        <v>7</v>
      </c>
      <c r="B27" s="12" t="s">
        <v>14</v>
      </c>
      <c r="C27" s="14">
        <v>0</v>
      </c>
    </row>
    <row r="28" spans="1:3" x14ac:dyDescent="0.6">
      <c r="A28" s="11" t="s">
        <v>5</v>
      </c>
      <c r="B28" s="12" t="s">
        <v>15</v>
      </c>
      <c r="C28" s="14">
        <v>0</v>
      </c>
    </row>
    <row r="29" spans="1:3" x14ac:dyDescent="0.6">
      <c r="A29" s="11"/>
      <c r="B29" s="12" t="s">
        <v>7</v>
      </c>
      <c r="C29" s="14"/>
    </row>
    <row r="30" spans="1:3" x14ac:dyDescent="0.6">
      <c r="A30" s="11"/>
      <c r="B30" s="12"/>
      <c r="C30" s="14"/>
    </row>
    <row r="31" spans="1:3" x14ac:dyDescent="0.6">
      <c r="A31" s="11">
        <v>8</v>
      </c>
      <c r="B31" s="12" t="s">
        <v>16</v>
      </c>
      <c r="C31" s="13"/>
    </row>
    <row r="32" spans="1:3" ht="34" x14ac:dyDescent="0.6">
      <c r="A32" s="11"/>
      <c r="B32" s="17" t="s">
        <v>17</v>
      </c>
      <c r="C32" s="13"/>
    </row>
    <row r="33" spans="1:4" x14ac:dyDescent="0.6">
      <c r="A33" s="11" t="s">
        <v>5</v>
      </c>
      <c r="B33" s="12" t="s">
        <v>18</v>
      </c>
      <c r="C33" s="14"/>
    </row>
    <row r="34" spans="1:4" x14ac:dyDescent="0.6">
      <c r="A34" s="11" t="s">
        <v>19</v>
      </c>
      <c r="B34" s="12" t="s">
        <v>20</v>
      </c>
      <c r="C34" s="14">
        <v>1</v>
      </c>
    </row>
    <row r="35" spans="1:4" x14ac:dyDescent="0.6">
      <c r="A35" s="11"/>
      <c r="B35" s="12" t="s">
        <v>7</v>
      </c>
      <c r="C35" s="14">
        <f>C34</f>
        <v>1</v>
      </c>
    </row>
    <row r="36" spans="1:4" x14ac:dyDescent="0.6">
      <c r="A36" s="11"/>
      <c r="B36" s="12"/>
      <c r="C36" s="14"/>
    </row>
    <row r="37" spans="1:4" x14ac:dyDescent="0.6">
      <c r="A37" s="11">
        <v>9</v>
      </c>
      <c r="B37" s="12" t="s">
        <v>247</v>
      </c>
      <c r="C37" s="14">
        <v>0</v>
      </c>
    </row>
    <row r="38" spans="1:4" x14ac:dyDescent="0.6">
      <c r="A38" s="11"/>
      <c r="B38" s="12"/>
      <c r="C38" s="14"/>
    </row>
    <row r="39" spans="1:4" x14ac:dyDescent="0.6">
      <c r="A39" s="11">
        <v>10</v>
      </c>
      <c r="B39" s="12" t="s">
        <v>63</v>
      </c>
      <c r="C39" s="18">
        <v>0</v>
      </c>
      <c r="D39" s="19"/>
    </row>
    <row r="40" spans="1:4" x14ac:dyDescent="0.6">
      <c r="A40" s="11"/>
      <c r="B40" s="12"/>
      <c r="C40" s="13"/>
    </row>
    <row r="41" spans="1:4" s="5" customFormat="1" x14ac:dyDescent="0.6">
      <c r="A41" s="20"/>
      <c r="B41" s="21" t="s">
        <v>21</v>
      </c>
      <c r="C41" s="22">
        <f>C35+C27+C25+C20+C16+C23+C37+C12+C9+C39</f>
        <v>225</v>
      </c>
    </row>
    <row r="42" spans="1:4" x14ac:dyDescent="0.6">
      <c r="A42" s="23"/>
    </row>
    <row r="43" spans="1:4" x14ac:dyDescent="0.6">
      <c r="A43" s="23"/>
    </row>
    <row r="44" spans="1:4" x14ac:dyDescent="0.6">
      <c r="A44" s="23"/>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E8"/>
  <sheetViews>
    <sheetView workbookViewId="0">
      <selection activeCell="D7" sqref="D7"/>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5" x14ac:dyDescent="0.6">
      <c r="A1" s="5" t="s">
        <v>22</v>
      </c>
    </row>
    <row r="3" spans="1:5" x14ac:dyDescent="0.6">
      <c r="A3" s="36" t="s">
        <v>23</v>
      </c>
      <c r="B3" s="25" t="s">
        <v>24</v>
      </c>
      <c r="C3" s="26" t="s">
        <v>4</v>
      </c>
    </row>
    <row r="4" spans="1:5" x14ac:dyDescent="0.6">
      <c r="A4" s="29">
        <v>1</v>
      </c>
      <c r="B4" s="30" t="s">
        <v>25</v>
      </c>
      <c r="C4" s="16">
        <f>C8*10%</f>
        <v>22.5</v>
      </c>
      <c r="D4" s="31"/>
    </row>
    <row r="5" spans="1:5" x14ac:dyDescent="0.6">
      <c r="A5" s="29">
        <v>2</v>
      </c>
      <c r="B5" s="30" t="s">
        <v>26</v>
      </c>
      <c r="C5" s="16">
        <v>0</v>
      </c>
      <c r="D5" s="32"/>
    </row>
    <row r="6" spans="1:5" x14ac:dyDescent="0.6">
      <c r="A6" s="29">
        <v>3</v>
      </c>
      <c r="B6" s="30" t="s">
        <v>27</v>
      </c>
      <c r="C6" s="15">
        <f>C8-C7-C4</f>
        <v>152.5</v>
      </c>
      <c r="D6" s="31">
        <f>C6/$C$8</f>
        <v>0.67777777777777781</v>
      </c>
    </row>
    <row r="7" spans="1:5" x14ac:dyDescent="0.6">
      <c r="A7" s="29">
        <v>4</v>
      </c>
      <c r="B7" s="30" t="s">
        <v>28</v>
      </c>
      <c r="C7" s="15">
        <f>'Ann 1'!C25</f>
        <v>50</v>
      </c>
      <c r="D7" s="31">
        <f>C7/$C$8</f>
        <v>0.22222222222222221</v>
      </c>
      <c r="E7" s="32"/>
    </row>
    <row r="8" spans="1:5" x14ac:dyDescent="0.6">
      <c r="A8" s="33"/>
      <c r="B8" s="34" t="s">
        <v>292</v>
      </c>
      <c r="C8" s="35">
        <f>'Ann 1'!C41</f>
        <v>225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3"/>
  <sheetViews>
    <sheetView topLeftCell="A2" workbookViewId="0">
      <selection activeCell="B16" sqref="B16"/>
    </sheetView>
  </sheetViews>
  <sheetFormatPr defaultRowHeight="17" x14ac:dyDescent="0.6"/>
  <cols>
    <col min="1" max="1" width="2.81640625" style="6" bestFit="1" customWidth="1"/>
    <col min="2" max="2" width="90.1796875" style="6" bestFit="1" customWidth="1"/>
    <col min="3" max="3" width="8.7265625" style="6"/>
    <col min="4" max="4" width="10.54296875" style="6" customWidth="1"/>
    <col min="5" max="5" width="12.1796875" style="6" bestFit="1" customWidth="1"/>
    <col min="6" max="6" width="8.7265625" style="6"/>
    <col min="7" max="7" width="9.1796875" style="6" bestFit="1" customWidth="1"/>
    <col min="8" max="16384" width="8.7265625" style="6"/>
  </cols>
  <sheetData>
    <row r="1" spans="1:5" x14ac:dyDescent="0.6">
      <c r="A1" s="5" t="s">
        <v>29</v>
      </c>
    </row>
    <row r="3" spans="1:5" x14ac:dyDescent="0.6">
      <c r="A3" s="36" t="s">
        <v>238</v>
      </c>
      <c r="B3" s="25"/>
      <c r="C3" s="25" t="s">
        <v>30</v>
      </c>
      <c r="D3" s="25"/>
      <c r="E3" s="26" t="s">
        <v>31</v>
      </c>
    </row>
    <row r="4" spans="1:5" x14ac:dyDescent="0.6">
      <c r="A4" s="37">
        <v>1</v>
      </c>
      <c r="B4" s="38" t="s">
        <v>249</v>
      </c>
      <c r="C4" s="39">
        <v>1</v>
      </c>
      <c r="D4" s="40"/>
      <c r="E4" s="41">
        <f>8000*400</f>
        <v>3200000</v>
      </c>
    </row>
    <row r="5" spans="1:5" x14ac:dyDescent="0.6">
      <c r="A5" s="42" t="s">
        <v>239</v>
      </c>
      <c r="B5" s="43"/>
      <c r="C5" s="43"/>
      <c r="D5" s="43"/>
      <c r="E5" s="44">
        <f>SUM(E4:E4)</f>
        <v>3200000</v>
      </c>
    </row>
    <row r="6" spans="1:5" x14ac:dyDescent="0.6">
      <c r="A6" s="33"/>
      <c r="B6" s="34"/>
      <c r="C6" s="34"/>
      <c r="D6" s="34"/>
      <c r="E6" s="45"/>
    </row>
    <row r="7" spans="1:5" x14ac:dyDescent="0.6">
      <c r="A7" s="36" t="s">
        <v>32</v>
      </c>
      <c r="B7" s="115"/>
      <c r="C7" s="25" t="s">
        <v>30</v>
      </c>
      <c r="D7" s="25"/>
      <c r="E7" s="26" t="s">
        <v>31</v>
      </c>
    </row>
    <row r="8" spans="1:5" x14ac:dyDescent="0.6">
      <c r="A8" s="37">
        <v>1</v>
      </c>
      <c r="B8" s="124" t="s">
        <v>295</v>
      </c>
      <c r="C8" s="39">
        <v>1</v>
      </c>
      <c r="D8" s="40"/>
      <c r="E8" s="126">
        <v>14000000</v>
      </c>
    </row>
    <row r="9" spans="1:5" x14ac:dyDescent="0.6">
      <c r="A9" s="29">
        <v>2</v>
      </c>
      <c r="B9" s="124" t="s">
        <v>296</v>
      </c>
      <c r="C9" s="46">
        <v>1</v>
      </c>
      <c r="D9" s="47"/>
      <c r="E9" s="127"/>
    </row>
    <row r="10" spans="1:5" x14ac:dyDescent="0.6">
      <c r="A10" s="29">
        <v>3</v>
      </c>
      <c r="B10" s="124" t="s">
        <v>297</v>
      </c>
      <c r="C10" s="46">
        <v>1</v>
      </c>
      <c r="D10" s="47"/>
      <c r="E10" s="127"/>
    </row>
    <row r="11" spans="1:5" x14ac:dyDescent="0.6">
      <c r="A11" s="29">
        <v>4</v>
      </c>
      <c r="B11" s="124" t="s">
        <v>298</v>
      </c>
      <c r="C11" s="46">
        <v>1</v>
      </c>
      <c r="D11" s="47"/>
      <c r="E11" s="127"/>
    </row>
    <row r="12" spans="1:5" x14ac:dyDescent="0.6">
      <c r="A12" s="29">
        <v>5</v>
      </c>
      <c r="B12" s="124" t="s">
        <v>299</v>
      </c>
      <c r="C12" s="46">
        <v>1</v>
      </c>
      <c r="D12" s="47"/>
      <c r="E12" s="127"/>
    </row>
    <row r="13" spans="1:5" x14ac:dyDescent="0.6">
      <c r="A13" s="29">
        <v>6</v>
      </c>
      <c r="B13" s="124" t="s">
        <v>300</v>
      </c>
      <c r="C13" s="46">
        <v>1</v>
      </c>
      <c r="D13" s="47"/>
      <c r="E13" s="127"/>
    </row>
    <row r="14" spans="1:5" x14ac:dyDescent="0.6">
      <c r="A14" s="29">
        <v>7</v>
      </c>
      <c r="B14" s="124" t="s">
        <v>301</v>
      </c>
      <c r="C14" s="46">
        <v>1</v>
      </c>
      <c r="D14" s="47"/>
      <c r="E14" s="127"/>
    </row>
    <row r="15" spans="1:5" x14ac:dyDescent="0.6">
      <c r="A15" s="29">
        <v>8</v>
      </c>
      <c r="B15" s="124" t="s">
        <v>302</v>
      </c>
      <c r="C15" s="46">
        <v>1</v>
      </c>
      <c r="D15" s="47"/>
      <c r="E15" s="127"/>
    </row>
    <row r="16" spans="1:5" x14ac:dyDescent="0.6">
      <c r="A16" s="29">
        <v>9</v>
      </c>
      <c r="B16" s="124" t="s">
        <v>303</v>
      </c>
      <c r="C16" s="46">
        <v>1</v>
      </c>
      <c r="D16" s="47"/>
      <c r="E16" s="127"/>
    </row>
    <row r="17" spans="1:6" s="5" customFormat="1" x14ac:dyDescent="0.6">
      <c r="A17" s="48" t="s">
        <v>33</v>
      </c>
      <c r="B17" s="49"/>
      <c r="C17" s="49"/>
      <c r="D17" s="49"/>
      <c r="E17" s="50">
        <f>SUM(E8)</f>
        <v>14000000</v>
      </c>
      <c r="F17" s="51"/>
    </row>
    <row r="18" spans="1:6" x14ac:dyDescent="0.6">
      <c r="A18" s="29"/>
      <c r="B18" s="30"/>
      <c r="C18" s="30"/>
      <c r="D18" s="30"/>
      <c r="E18" s="13"/>
    </row>
    <row r="19" spans="1:6" x14ac:dyDescent="0.6">
      <c r="A19" s="36" t="s">
        <v>248</v>
      </c>
      <c r="B19" s="25"/>
      <c r="C19" s="25"/>
      <c r="D19" s="25"/>
      <c r="E19" s="53">
        <v>200000</v>
      </c>
    </row>
    <row r="20" spans="1:6" x14ac:dyDescent="0.6">
      <c r="A20" s="29"/>
      <c r="B20" s="30"/>
      <c r="C20" s="30"/>
      <c r="D20" s="30"/>
      <c r="E20" s="13"/>
    </row>
    <row r="21" spans="1:6" s="5" customFormat="1" x14ac:dyDescent="0.6">
      <c r="A21" s="48" t="s">
        <v>34</v>
      </c>
      <c r="B21" s="49"/>
      <c r="C21" s="49"/>
      <c r="D21" s="49"/>
      <c r="E21" s="50">
        <f>E17+E5+E19</f>
        <v>17400000</v>
      </c>
    </row>
    <row r="22" spans="1:6" x14ac:dyDescent="0.6">
      <c r="E22" s="19"/>
    </row>
    <row r="23" spans="1:6" x14ac:dyDescent="0.6">
      <c r="E23" s="52"/>
    </row>
  </sheetData>
  <mergeCells count="1">
    <mergeCell ref="E8:E16"/>
  </mergeCells>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6"/>
  <sheetViews>
    <sheetView workbookViewId="0"/>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35</v>
      </c>
    </row>
    <row r="3" spans="1:11" s="5" customFormat="1" x14ac:dyDescent="0.6">
      <c r="A3" s="130" t="s">
        <v>36</v>
      </c>
      <c r="B3" s="129" t="s">
        <v>37</v>
      </c>
      <c r="C3" s="128" t="s">
        <v>47</v>
      </c>
      <c r="D3" s="128"/>
      <c r="E3" s="128"/>
      <c r="F3" s="128"/>
      <c r="G3" s="128"/>
      <c r="H3" s="128"/>
      <c r="I3" s="128"/>
      <c r="J3" s="128"/>
      <c r="K3" s="128"/>
    </row>
    <row r="4" spans="1:11" s="5" customFormat="1" x14ac:dyDescent="0.6">
      <c r="A4" s="131"/>
      <c r="B4" s="129"/>
      <c r="C4" s="123" t="s">
        <v>38</v>
      </c>
      <c r="D4" s="123" t="s">
        <v>39</v>
      </c>
      <c r="E4" s="123" t="s">
        <v>40</v>
      </c>
      <c r="F4" s="123" t="s">
        <v>41</v>
      </c>
      <c r="G4" s="123" t="s">
        <v>42</v>
      </c>
      <c r="H4" s="123" t="s">
        <v>43</v>
      </c>
      <c r="I4" s="123" t="s">
        <v>44</v>
      </c>
      <c r="J4" s="123" t="s">
        <v>45</v>
      </c>
      <c r="K4" s="123" t="s">
        <v>46</v>
      </c>
    </row>
    <row r="5" spans="1:11" x14ac:dyDescent="0.6">
      <c r="A5" s="7"/>
      <c r="B5" s="7" t="s">
        <v>48</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7" t="s">
        <v>283</v>
      </c>
      <c r="C7" s="72">
        <f>Budgets!B7*Budgets!$D$18*1.15</f>
        <v>37059348</v>
      </c>
      <c r="D7" s="72">
        <f>Budgets!C7*1.15*Budgets!$D$18*1.05</f>
        <v>42155008.350000001</v>
      </c>
      <c r="E7" s="72">
        <f>Budgets!D7*1.15*Budgets!$D$18*1.05</f>
        <v>45397701.300000004</v>
      </c>
      <c r="F7" s="72">
        <f>Budgets!E7*1.15*Budgets!$D$18*1.05</f>
        <v>48640394.25</v>
      </c>
      <c r="G7" s="72">
        <f>Budgets!F7*1.15*Budgets!$D$18*1.05</f>
        <v>51883087.200000003</v>
      </c>
      <c r="H7" s="72">
        <f>Budgets!G7*1.15*Budgets!$D$18*1.05</f>
        <v>55125780.150000006</v>
      </c>
      <c r="I7" s="72">
        <f>Budgets!H7*1.15*Budgets!$D$18*1.05</f>
        <v>58368473.100000001</v>
      </c>
      <c r="J7" s="72">
        <f>Budgets!I7*1.15*Budgets!$D$18*1.05</f>
        <v>61611166.049999997</v>
      </c>
      <c r="K7" s="72">
        <f>Budgets!J7*1.15*Budgets!$D$18*1.05</f>
        <v>64853858.999999993</v>
      </c>
    </row>
    <row r="8" spans="1:11" x14ac:dyDescent="0.6">
      <c r="A8" s="7"/>
      <c r="B8" s="7" t="s">
        <v>168</v>
      </c>
      <c r="C8" s="72">
        <f>250000+C43</f>
        <v>1370000</v>
      </c>
      <c r="D8" s="72">
        <f t="shared" ref="D8:K8" si="0">250000+D43</f>
        <v>1426000</v>
      </c>
      <c r="E8" s="72">
        <f t="shared" si="0"/>
        <v>1484800</v>
      </c>
      <c r="F8" s="72">
        <f t="shared" si="0"/>
        <v>1546540</v>
      </c>
      <c r="G8" s="72">
        <f t="shared" si="0"/>
        <v>1611367</v>
      </c>
      <c r="H8" s="72">
        <f t="shared" si="0"/>
        <v>1679435.35</v>
      </c>
      <c r="I8" s="72">
        <f t="shared" si="0"/>
        <v>1750907.1175000002</v>
      </c>
      <c r="J8" s="72">
        <f t="shared" si="0"/>
        <v>1825952.4733750001</v>
      </c>
      <c r="K8" s="72">
        <f t="shared" si="0"/>
        <v>1904750.0970437503</v>
      </c>
    </row>
    <row r="9" spans="1:11" x14ac:dyDescent="0.6">
      <c r="A9" s="7"/>
      <c r="B9" s="7" t="s">
        <v>252</v>
      </c>
      <c r="C9" s="72">
        <f>2%*'Ann 3'!E17</f>
        <v>280000</v>
      </c>
      <c r="D9" s="72">
        <f>C9*1.05</f>
        <v>294000</v>
      </c>
      <c r="E9" s="72">
        <f t="shared" ref="E9:K9" si="1">D9*1.05</f>
        <v>308700</v>
      </c>
      <c r="F9" s="72">
        <f t="shared" si="1"/>
        <v>324135</v>
      </c>
      <c r="G9" s="72">
        <f t="shared" si="1"/>
        <v>340341.75</v>
      </c>
      <c r="H9" s="72">
        <f t="shared" si="1"/>
        <v>357358.83750000002</v>
      </c>
      <c r="I9" s="72">
        <f t="shared" si="1"/>
        <v>375226.77937500004</v>
      </c>
      <c r="J9" s="72">
        <f t="shared" si="1"/>
        <v>393988.11834375007</v>
      </c>
      <c r="K9" s="72">
        <f t="shared" si="1"/>
        <v>413687.52426093759</v>
      </c>
    </row>
    <row r="10" spans="1:11" x14ac:dyDescent="0.6">
      <c r="A10" s="7"/>
      <c r="B10" s="7" t="s">
        <v>310</v>
      </c>
      <c r="C10" s="72">
        <f>C23*20%</f>
        <v>14893416</v>
      </c>
      <c r="D10" s="72">
        <f t="shared" ref="D10:K10" si="2">D23*20%</f>
        <v>17747987.400000002</v>
      </c>
      <c r="E10" s="72">
        <f t="shared" si="2"/>
        <v>19113217.200000003</v>
      </c>
      <c r="F10" s="72">
        <f t="shared" si="2"/>
        <v>20478447.000000004</v>
      </c>
      <c r="G10" s="72">
        <f t="shared" si="2"/>
        <v>21843676.800000004</v>
      </c>
      <c r="H10" s="72">
        <f t="shared" si="2"/>
        <v>23208906.600000005</v>
      </c>
      <c r="I10" s="72">
        <f t="shared" si="2"/>
        <v>24574136.400000006</v>
      </c>
      <c r="J10" s="72">
        <f t="shared" si="2"/>
        <v>25939366.200000003</v>
      </c>
      <c r="K10" s="72">
        <f t="shared" si="2"/>
        <v>27304596</v>
      </c>
    </row>
    <row r="11" spans="1:11" x14ac:dyDescent="0.6">
      <c r="A11" s="7"/>
      <c r="B11" s="7" t="s">
        <v>170</v>
      </c>
      <c r="C11" s="72">
        <f>SUM(C7:C10)</f>
        <v>53602764</v>
      </c>
      <c r="D11" s="72">
        <f t="shared" ref="D11:K11" si="3">SUM(D7:D10)</f>
        <v>61622995.75</v>
      </c>
      <c r="E11" s="72">
        <f t="shared" si="3"/>
        <v>66304418.500000007</v>
      </c>
      <c r="F11" s="72">
        <f t="shared" si="3"/>
        <v>70989516.25</v>
      </c>
      <c r="G11" s="72">
        <f t="shared" si="3"/>
        <v>75678472.75</v>
      </c>
      <c r="H11" s="72">
        <f t="shared" si="3"/>
        <v>80371480.937500015</v>
      </c>
      <c r="I11" s="72">
        <f t="shared" si="3"/>
        <v>85068743.396875009</v>
      </c>
      <c r="J11" s="72">
        <f t="shared" si="3"/>
        <v>89770472.841718748</v>
      </c>
      <c r="K11" s="72">
        <f t="shared" si="3"/>
        <v>94476892.621304676</v>
      </c>
    </row>
    <row r="12" spans="1:11" x14ac:dyDescent="0.6">
      <c r="A12" s="7"/>
      <c r="B12" s="7" t="s">
        <v>254</v>
      </c>
      <c r="C12" s="72">
        <v>0</v>
      </c>
      <c r="D12" s="72">
        <f>C13</f>
        <v>696767.99999999814</v>
      </c>
      <c r="E12" s="72">
        <f t="shared" ref="E12:K12" si="4">D13</f>
        <v>1451600</v>
      </c>
      <c r="F12" s="72">
        <f t="shared" si="4"/>
        <v>2264495.9999999963</v>
      </c>
      <c r="G12" s="72">
        <f t="shared" si="4"/>
        <v>3135455.9999999963</v>
      </c>
      <c r="H12" s="72">
        <f t="shared" si="4"/>
        <v>4064480</v>
      </c>
      <c r="I12" s="72">
        <f t="shared" si="4"/>
        <v>3077391.9999999925</v>
      </c>
      <c r="J12" s="72">
        <f t="shared" si="4"/>
        <v>2032240</v>
      </c>
      <c r="K12" s="72">
        <f t="shared" si="4"/>
        <v>929024.00000000373</v>
      </c>
    </row>
    <row r="13" spans="1:11" x14ac:dyDescent="0.6">
      <c r="A13" s="7"/>
      <c r="B13" s="7" t="s">
        <v>255</v>
      </c>
      <c r="C13" s="72">
        <f>Budgets!B25*20</f>
        <v>696767.99999999814</v>
      </c>
      <c r="D13" s="72">
        <f>Budgets!C25*20</f>
        <v>1451600</v>
      </c>
      <c r="E13" s="72">
        <f>Budgets!D25*20</f>
        <v>2264495.9999999963</v>
      </c>
      <c r="F13" s="72">
        <f>Budgets!E25*20</f>
        <v>3135455.9999999963</v>
      </c>
      <c r="G13" s="72">
        <f>Budgets!F25*20</f>
        <v>4064480</v>
      </c>
      <c r="H13" s="72">
        <f>Budgets!G25*20</f>
        <v>3077391.9999999925</v>
      </c>
      <c r="I13" s="72">
        <f>Budgets!H25*20</f>
        <v>2032240</v>
      </c>
      <c r="J13" s="72">
        <f>Budgets!I25*20</f>
        <v>929024.00000000373</v>
      </c>
      <c r="K13" s="72">
        <f>Budgets!J25*20</f>
        <v>-232255.99999999627</v>
      </c>
    </row>
    <row r="14" spans="1:11" x14ac:dyDescent="0.6">
      <c r="A14" s="7"/>
      <c r="B14" s="7" t="s">
        <v>171</v>
      </c>
      <c r="C14" s="72">
        <f>C11+C12-C13</f>
        <v>52905996</v>
      </c>
      <c r="D14" s="72">
        <f t="shared" ref="D14:K14" si="5">D11+D12-D13</f>
        <v>60868163.75</v>
      </c>
      <c r="E14" s="72">
        <f t="shared" si="5"/>
        <v>65491522.5</v>
      </c>
      <c r="F14" s="72">
        <f t="shared" si="5"/>
        <v>70118556.25</v>
      </c>
      <c r="G14" s="72">
        <f t="shared" si="5"/>
        <v>74749448.75</v>
      </c>
      <c r="H14" s="72">
        <f t="shared" si="5"/>
        <v>81358568.93750003</v>
      </c>
      <c r="I14" s="72">
        <f t="shared" si="5"/>
        <v>86113895.396874994</v>
      </c>
      <c r="J14" s="72">
        <f t="shared" si="5"/>
        <v>90873688.841718748</v>
      </c>
      <c r="K14" s="72">
        <f t="shared" si="5"/>
        <v>95638172.621304676</v>
      </c>
    </row>
    <row r="15" spans="1:11" x14ac:dyDescent="0.6">
      <c r="A15" s="7"/>
      <c r="B15" s="7"/>
      <c r="C15" s="72"/>
      <c r="D15" s="72"/>
      <c r="E15" s="72"/>
      <c r="F15" s="72"/>
      <c r="G15" s="72"/>
      <c r="H15" s="72"/>
      <c r="I15" s="72"/>
      <c r="J15" s="72"/>
      <c r="K15" s="72"/>
    </row>
    <row r="16" spans="1:11" x14ac:dyDescent="0.6">
      <c r="A16" s="7"/>
      <c r="B16" s="7" t="s">
        <v>50</v>
      </c>
      <c r="C16" s="72">
        <f>'Ann 8'!E14</f>
        <v>5227200</v>
      </c>
      <c r="D16" s="72">
        <f>1.05*C16</f>
        <v>5488560</v>
      </c>
      <c r="E16" s="72">
        <f t="shared" ref="E16:K16" si="6">1.05*D16</f>
        <v>5762988</v>
      </c>
      <c r="F16" s="72">
        <f t="shared" si="6"/>
        <v>6051137.4000000004</v>
      </c>
      <c r="G16" s="72">
        <f t="shared" si="6"/>
        <v>6353694.2700000005</v>
      </c>
      <c r="H16" s="72">
        <f t="shared" si="6"/>
        <v>6671378.983500001</v>
      </c>
      <c r="I16" s="72">
        <f t="shared" si="6"/>
        <v>7004947.9326750012</v>
      </c>
      <c r="J16" s="72">
        <f t="shared" si="6"/>
        <v>7355195.329308752</v>
      </c>
      <c r="K16" s="72">
        <f t="shared" si="6"/>
        <v>7722955.0957741896</v>
      </c>
    </row>
    <row r="17" spans="1:11" x14ac:dyDescent="0.6">
      <c r="A17" s="7"/>
      <c r="B17" s="7" t="s">
        <v>312</v>
      </c>
      <c r="C17" s="72">
        <f>0.3*Budgets!B6</f>
        <v>1045152</v>
      </c>
      <c r="D17" s="72">
        <f>0.3*Budgets!C6*1.1</f>
        <v>1245472.8</v>
      </c>
      <c r="E17" s="72">
        <f>0.3*Budgets!D6*1.1</f>
        <v>1341278.4000000001</v>
      </c>
      <c r="F17" s="72">
        <f>0.3*Budgets!E6*1.1</f>
        <v>1437084</v>
      </c>
      <c r="G17" s="72">
        <f>0.3*Budgets!F6*1.1</f>
        <v>1532889.6</v>
      </c>
      <c r="H17" s="72">
        <f>0.3*Budgets!G6*1.1</f>
        <v>1628695.2000000002</v>
      </c>
      <c r="I17" s="72">
        <f>0.3*Budgets!H6*1.1</f>
        <v>1724500.8</v>
      </c>
      <c r="J17" s="72">
        <f>0.3*Budgets!I6*1.1</f>
        <v>1820306.4000000001</v>
      </c>
      <c r="K17" s="72">
        <f>0.3*Budgets!J6*1.1</f>
        <v>1916112.0000000002</v>
      </c>
    </row>
    <row r="18" spans="1:11" x14ac:dyDescent="0.6">
      <c r="A18" s="7"/>
      <c r="B18" s="7" t="s">
        <v>319</v>
      </c>
      <c r="C18" s="72">
        <f>1.5*Budgets!B6</f>
        <v>5225760</v>
      </c>
      <c r="D18" s="72">
        <f>1.5*Budgets!C6*1.1</f>
        <v>6227364.0000000009</v>
      </c>
      <c r="E18" s="72">
        <f>1.5*Budgets!D6*1.1</f>
        <v>6706392.0000000009</v>
      </c>
      <c r="F18" s="72">
        <f>1.5*Budgets!E6*1.1</f>
        <v>7185420.0000000009</v>
      </c>
      <c r="G18" s="72">
        <f>1.5*Budgets!F6*1.1</f>
        <v>7664448.0000000009</v>
      </c>
      <c r="H18" s="72">
        <f>1.5*Budgets!G6*1.1</f>
        <v>8143476.0000000009</v>
      </c>
      <c r="I18" s="72">
        <f>1.5*Budgets!H6*1.1</f>
        <v>8622504</v>
      </c>
      <c r="J18" s="72">
        <f>1.5*Budgets!I6*1.1</f>
        <v>9101532</v>
      </c>
      <c r="K18" s="72">
        <f>1.5*Budgets!J6*1.1</f>
        <v>9580560</v>
      </c>
    </row>
    <row r="19" spans="1:11" x14ac:dyDescent="0.6">
      <c r="A19" s="7"/>
      <c r="B19" s="7" t="s">
        <v>317</v>
      </c>
      <c r="C19" s="72">
        <v>500000</v>
      </c>
      <c r="D19" s="72">
        <v>500000</v>
      </c>
      <c r="E19" s="72">
        <v>500000</v>
      </c>
      <c r="F19" s="72">
        <v>500000</v>
      </c>
      <c r="G19" s="72">
        <v>500000</v>
      </c>
      <c r="H19" s="72">
        <v>500000</v>
      </c>
      <c r="I19" s="72">
        <v>500000</v>
      </c>
      <c r="J19" s="72">
        <v>500000</v>
      </c>
      <c r="K19" s="72">
        <v>500000</v>
      </c>
    </row>
    <row r="20" spans="1:11" x14ac:dyDescent="0.6">
      <c r="A20" s="7"/>
      <c r="B20" s="7" t="s">
        <v>7</v>
      </c>
      <c r="C20" s="72">
        <f>SUM(C16:C19)</f>
        <v>11998112</v>
      </c>
      <c r="D20" s="72">
        <f t="shared" ref="D20:K20" si="7">SUM(D16:D19)</f>
        <v>13461396.800000001</v>
      </c>
      <c r="E20" s="72">
        <f t="shared" si="7"/>
        <v>14310658.400000002</v>
      </c>
      <c r="F20" s="72">
        <f t="shared" si="7"/>
        <v>15173641.400000002</v>
      </c>
      <c r="G20" s="72">
        <f t="shared" si="7"/>
        <v>16051031.870000001</v>
      </c>
      <c r="H20" s="72">
        <f t="shared" si="7"/>
        <v>16943550.183500003</v>
      </c>
      <c r="I20" s="72">
        <f t="shared" si="7"/>
        <v>17851952.732675001</v>
      </c>
      <c r="J20" s="72">
        <f t="shared" si="7"/>
        <v>18777033.729308754</v>
      </c>
      <c r="K20" s="72">
        <f t="shared" si="7"/>
        <v>19719627.095774189</v>
      </c>
    </row>
    <row r="21" spans="1:11" x14ac:dyDescent="0.6">
      <c r="A21" s="7"/>
      <c r="B21" s="7"/>
      <c r="C21" s="72"/>
      <c r="D21" s="72"/>
      <c r="E21" s="72"/>
      <c r="F21" s="72"/>
      <c r="G21" s="72"/>
      <c r="H21" s="72"/>
      <c r="I21" s="72"/>
      <c r="J21" s="72"/>
      <c r="K21" s="72"/>
    </row>
    <row r="22" spans="1:11" x14ac:dyDescent="0.6">
      <c r="A22" s="7"/>
      <c r="B22" s="7" t="s">
        <v>85</v>
      </c>
      <c r="C22" s="72">
        <f t="shared" ref="C22:K22" si="8">C20+C14</f>
        <v>64904108</v>
      </c>
      <c r="D22" s="72">
        <f t="shared" si="8"/>
        <v>74329560.549999997</v>
      </c>
      <c r="E22" s="72">
        <f t="shared" si="8"/>
        <v>79802180.900000006</v>
      </c>
      <c r="F22" s="72">
        <f t="shared" si="8"/>
        <v>85292197.650000006</v>
      </c>
      <c r="G22" s="72">
        <f t="shared" si="8"/>
        <v>90800480.620000005</v>
      </c>
      <c r="H22" s="72">
        <f t="shared" si="8"/>
        <v>98302119.121000037</v>
      </c>
      <c r="I22" s="72">
        <f t="shared" si="8"/>
        <v>103965848.12955</v>
      </c>
      <c r="J22" s="72">
        <f t="shared" si="8"/>
        <v>109650722.5710275</v>
      </c>
      <c r="K22" s="72">
        <f t="shared" si="8"/>
        <v>115357799.71707886</v>
      </c>
    </row>
    <row r="23" spans="1:11" x14ac:dyDescent="0.6">
      <c r="A23" s="7"/>
      <c r="B23" s="7" t="s">
        <v>86</v>
      </c>
      <c r="C23" s="72">
        <f>Budgets!B10</f>
        <v>74467080</v>
      </c>
      <c r="D23" s="72">
        <f>Budgets!C10</f>
        <v>88739937</v>
      </c>
      <c r="E23" s="72">
        <f>Budgets!D10</f>
        <v>95566086.000000015</v>
      </c>
      <c r="F23" s="72">
        <f>Budgets!E10</f>
        <v>102392235.00000001</v>
      </c>
      <c r="G23" s="72">
        <f>Budgets!F10</f>
        <v>109218384.00000001</v>
      </c>
      <c r="H23" s="72">
        <f>Budgets!G10</f>
        <v>116044533.00000001</v>
      </c>
      <c r="I23" s="72">
        <f>Budgets!H10</f>
        <v>122870682.00000001</v>
      </c>
      <c r="J23" s="72">
        <f>Budgets!I10</f>
        <v>129696831.00000001</v>
      </c>
      <c r="K23" s="72">
        <f>Budgets!J10</f>
        <v>136522980</v>
      </c>
    </row>
    <row r="24" spans="1:11" x14ac:dyDescent="0.6">
      <c r="A24" s="7"/>
      <c r="B24" s="7" t="s">
        <v>87</v>
      </c>
      <c r="C24" s="72">
        <f>C23-C22</f>
        <v>9562972</v>
      </c>
      <c r="D24" s="72">
        <f t="shared" ref="D24:K24" si="9">D23-D22</f>
        <v>14410376.450000003</v>
      </c>
      <c r="E24" s="72">
        <f t="shared" si="9"/>
        <v>15763905.100000009</v>
      </c>
      <c r="F24" s="72">
        <f t="shared" si="9"/>
        <v>17100037.350000009</v>
      </c>
      <c r="G24" s="72">
        <f t="shared" si="9"/>
        <v>18417903.38000001</v>
      </c>
      <c r="H24" s="72">
        <f t="shared" si="9"/>
        <v>17742413.878999978</v>
      </c>
      <c r="I24" s="72">
        <f t="shared" si="9"/>
        <v>18904833.87045002</v>
      </c>
      <c r="J24" s="72">
        <f t="shared" si="9"/>
        <v>20046108.428972512</v>
      </c>
      <c r="K24" s="72">
        <f t="shared" si="9"/>
        <v>21165180.282921135</v>
      </c>
    </row>
    <row r="25" spans="1:11" x14ac:dyDescent="0.6">
      <c r="A25" s="7"/>
      <c r="B25" s="7"/>
      <c r="C25" s="72"/>
      <c r="D25" s="72"/>
      <c r="E25" s="72"/>
      <c r="F25" s="72"/>
      <c r="G25" s="72"/>
      <c r="H25" s="72"/>
      <c r="I25" s="72"/>
      <c r="J25" s="72"/>
      <c r="K25" s="72"/>
    </row>
    <row r="26" spans="1:11" x14ac:dyDescent="0.6">
      <c r="A26" s="7"/>
      <c r="B26" s="7" t="s">
        <v>88</v>
      </c>
      <c r="C26" s="72"/>
      <c r="D26" s="72"/>
      <c r="E26" s="72"/>
      <c r="F26" s="72"/>
      <c r="G26" s="72"/>
      <c r="H26" s="72"/>
      <c r="I26" s="72"/>
      <c r="J26" s="72"/>
      <c r="K26" s="72"/>
    </row>
    <row r="27" spans="1:11" x14ac:dyDescent="0.6">
      <c r="A27" s="7"/>
      <c r="B27" s="7" t="s">
        <v>89</v>
      </c>
      <c r="C27" s="72">
        <f>SUM('Ann 13'!E9:E12)*100000</f>
        <v>906201.92307692312</v>
      </c>
      <c r="D27" s="72">
        <f>SUM('Ann 13'!E13:E16)*100000</f>
        <v>791826.92307692312</v>
      </c>
      <c r="E27" s="72">
        <f>SUM('Ann 13'!E17:E20)*100000</f>
        <v>651057.69230769237</v>
      </c>
      <c r="F27" s="72">
        <f>SUM('Ann 13'!E21:E24)*100000</f>
        <v>510288.46153846168</v>
      </c>
      <c r="G27" s="72">
        <f>SUM('Ann 13'!E25:E28)*100000</f>
        <v>369519.23076923098</v>
      </c>
      <c r="H27" s="72">
        <f>SUM('Ann 13'!E29:E32)*100000</f>
        <v>228750.00000000023</v>
      </c>
      <c r="I27" s="72">
        <f>SUM('Ann 13'!E33:E36)*100000</f>
        <v>87980.769230769525</v>
      </c>
      <c r="J27" s="72">
        <v>0</v>
      </c>
      <c r="K27" s="72">
        <v>0</v>
      </c>
    </row>
    <row r="28" spans="1:11" x14ac:dyDescent="0.6">
      <c r="A28" s="7"/>
      <c r="B28" s="7" t="s">
        <v>162</v>
      </c>
      <c r="C28" s="72">
        <f>'Ann 1'!$C$25*100000*10%</f>
        <v>500000</v>
      </c>
      <c r="D28" s="72">
        <f>'Ann 1'!$C$25*100000*10%</f>
        <v>500000</v>
      </c>
      <c r="E28" s="72">
        <f>'Ann 1'!$C$25*100000*10%</f>
        <v>500000</v>
      </c>
      <c r="F28" s="72">
        <f>'Ann 1'!$C$25*100000*10%</f>
        <v>500000</v>
      </c>
      <c r="G28" s="72">
        <f>'Ann 1'!$C$25*100000*10%</f>
        <v>500000</v>
      </c>
      <c r="H28" s="72">
        <f>'Ann 1'!$C$25*100000*10%</f>
        <v>500000</v>
      </c>
      <c r="I28" s="72">
        <f>'Ann 1'!$C$25*100000*10%</f>
        <v>500000</v>
      </c>
      <c r="J28" s="72">
        <f>'Ann 1'!$C$25*100000*10%</f>
        <v>500000</v>
      </c>
      <c r="K28" s="72">
        <f>'Ann 1'!$C$25*100000*10%</f>
        <v>500000</v>
      </c>
    </row>
    <row r="29" spans="1:11" x14ac:dyDescent="0.6">
      <c r="A29" s="7"/>
      <c r="B29" s="71" t="s">
        <v>273</v>
      </c>
      <c r="C29" s="72">
        <f>SUM(C27:C28)</f>
        <v>1406201.923076923</v>
      </c>
      <c r="D29" s="72">
        <f t="shared" ref="D29:K29" si="10">SUM(D27:D28)</f>
        <v>1291826.923076923</v>
      </c>
      <c r="E29" s="72">
        <f t="shared" si="10"/>
        <v>1151057.6923076925</v>
      </c>
      <c r="F29" s="72">
        <f t="shared" si="10"/>
        <v>1010288.4615384617</v>
      </c>
      <c r="G29" s="72">
        <f t="shared" si="10"/>
        <v>869519.23076923098</v>
      </c>
      <c r="H29" s="72">
        <f t="shared" si="10"/>
        <v>728750.00000000023</v>
      </c>
      <c r="I29" s="72">
        <f t="shared" si="10"/>
        <v>587980.76923076948</v>
      </c>
      <c r="J29" s="72">
        <f t="shared" si="10"/>
        <v>500000</v>
      </c>
      <c r="K29" s="72">
        <f t="shared" si="10"/>
        <v>500000</v>
      </c>
    </row>
    <row r="30" spans="1:11" x14ac:dyDescent="0.6">
      <c r="A30" s="7"/>
      <c r="B30" s="7"/>
      <c r="C30" s="72"/>
      <c r="D30" s="72"/>
      <c r="E30" s="72"/>
      <c r="F30" s="72"/>
      <c r="G30" s="72"/>
      <c r="H30" s="72"/>
      <c r="I30" s="72"/>
      <c r="J30" s="72"/>
      <c r="K30" s="72"/>
    </row>
    <row r="31" spans="1:11" x14ac:dyDescent="0.6">
      <c r="A31" s="7"/>
      <c r="B31" s="7" t="s">
        <v>99</v>
      </c>
      <c r="C31" s="72">
        <f t="shared" ref="C31:K31" si="11">C24-C29</f>
        <v>8156770.076923077</v>
      </c>
      <c r="D31" s="72">
        <f t="shared" si="11"/>
        <v>13118549.526923079</v>
      </c>
      <c r="E31" s="72">
        <f t="shared" si="11"/>
        <v>14612847.407692317</v>
      </c>
      <c r="F31" s="72">
        <f t="shared" si="11"/>
        <v>16089748.888461547</v>
      </c>
      <c r="G31" s="72">
        <f t="shared" si="11"/>
        <v>17548384.149230778</v>
      </c>
      <c r="H31" s="72">
        <f t="shared" si="11"/>
        <v>17013663.878999978</v>
      </c>
      <c r="I31" s="72">
        <f t="shared" si="11"/>
        <v>18316853.101219252</v>
      </c>
      <c r="J31" s="72">
        <f t="shared" si="11"/>
        <v>19546108.428972512</v>
      </c>
      <c r="K31" s="72">
        <f t="shared" si="11"/>
        <v>20665180.282921135</v>
      </c>
    </row>
    <row r="32" spans="1:11" x14ac:dyDescent="0.6">
      <c r="A32" s="7"/>
      <c r="B32" s="7" t="s">
        <v>173</v>
      </c>
      <c r="C32" s="72">
        <f>'Ann 1'!C34*100000</f>
        <v>100000</v>
      </c>
      <c r="D32" s="72">
        <v>0</v>
      </c>
      <c r="E32" s="72">
        <v>0</v>
      </c>
      <c r="F32" s="72">
        <v>0</v>
      </c>
      <c r="G32" s="72">
        <v>0</v>
      </c>
      <c r="H32" s="72">
        <v>0</v>
      </c>
      <c r="I32" s="72">
        <v>0</v>
      </c>
      <c r="J32" s="72">
        <v>0</v>
      </c>
      <c r="K32" s="72">
        <v>0</v>
      </c>
    </row>
    <row r="33" spans="1:11" x14ac:dyDescent="0.6">
      <c r="A33" s="7"/>
      <c r="B33" s="71" t="s">
        <v>100</v>
      </c>
      <c r="C33" s="72">
        <f>'Ann 9'!C12+'Ann 9'!D12+'Ann 9'!E12</f>
        <v>2440000</v>
      </c>
      <c r="D33" s="72">
        <f>'Ann 9'!C13+'Ann 9'!D13+'Ann 9'!E13</f>
        <v>2091000</v>
      </c>
      <c r="E33" s="72">
        <f>'Ann 9'!C14+'Ann 9'!D14+'Ann 9'!E14</f>
        <v>1792650</v>
      </c>
      <c r="F33" s="72">
        <f>'Ann 9'!C15+'Ann 9'!D15+'Ann 9'!E15</f>
        <v>1537522.5</v>
      </c>
      <c r="G33" s="72">
        <f>'Ann 9'!C16+'Ann 9'!D16+'Ann 9'!E16</f>
        <v>1319287.125</v>
      </c>
      <c r="H33" s="72">
        <f>'Ann 9'!C17+'Ann 9'!D17+'Ann 9'!E17</f>
        <v>1132547.7562500001</v>
      </c>
      <c r="I33" s="72">
        <f>'Ann 9'!C18+'Ann 9'!D18+'Ann 9'!E18</f>
        <v>972703.92281249992</v>
      </c>
      <c r="J33" s="72">
        <f>'Ann 9'!C19+'Ann 9'!D19+'Ann 9'!E19</f>
        <v>835832.83139062498</v>
      </c>
      <c r="K33" s="72">
        <f>'Ann 9'!C20+'Ann 9'!D20+'Ann 9'!E20</f>
        <v>718588.95398203132</v>
      </c>
    </row>
    <row r="34" spans="1:11" x14ac:dyDescent="0.6">
      <c r="A34" s="7"/>
      <c r="B34" s="71" t="s">
        <v>101</v>
      </c>
      <c r="C34" s="72">
        <f>C31-C32-C33</f>
        <v>5616770.076923077</v>
      </c>
      <c r="D34" s="72">
        <f t="shared" ref="D34:K34" si="12">D31-D32-D33</f>
        <v>11027549.526923079</v>
      </c>
      <c r="E34" s="72">
        <f t="shared" si="12"/>
        <v>12820197.407692317</v>
      </c>
      <c r="F34" s="72">
        <f t="shared" si="12"/>
        <v>14552226.388461547</v>
      </c>
      <c r="G34" s="72">
        <f t="shared" si="12"/>
        <v>16229097.024230778</v>
      </c>
      <c r="H34" s="72">
        <f t="shared" si="12"/>
        <v>15881116.122749979</v>
      </c>
      <c r="I34" s="72">
        <f t="shared" si="12"/>
        <v>17344149.178406753</v>
      </c>
      <c r="J34" s="72">
        <f t="shared" si="12"/>
        <v>18710275.597581886</v>
      </c>
      <c r="K34" s="72">
        <f t="shared" si="12"/>
        <v>19946591.328939103</v>
      </c>
    </row>
    <row r="35" spans="1:11" x14ac:dyDescent="0.6">
      <c r="A35" s="7"/>
      <c r="B35" s="71" t="s">
        <v>102</v>
      </c>
      <c r="C35" s="72">
        <f>'Ann 10'!B14</f>
        <v>1715031.0230769231</v>
      </c>
      <c r="D35" s="72">
        <f>'Ann 10'!C14</f>
        <v>3308264.8580769235</v>
      </c>
      <c r="E35" s="72">
        <f>'Ann 10'!D14</f>
        <v>3846059.2223076951</v>
      </c>
      <c r="F35" s="72">
        <f>'Ann 10'!E14</f>
        <v>4365667.9165384639</v>
      </c>
      <c r="G35" s="72">
        <f>'Ann 10'!F14</f>
        <v>4868729.1072692331</v>
      </c>
      <c r="H35" s="72">
        <f>'Ann 10'!G14</f>
        <v>4764334.8368249936</v>
      </c>
      <c r="I35" s="72">
        <f>'Ann 10'!H14</f>
        <v>5203244.7535220254</v>
      </c>
      <c r="J35" s="72">
        <f>'Ann 10'!I14</f>
        <v>5613082.6792745655</v>
      </c>
      <c r="K35" s="72">
        <f>'Ann 10'!J14</f>
        <v>5983977.398681731</v>
      </c>
    </row>
    <row r="36" spans="1:11" x14ac:dyDescent="0.6">
      <c r="A36" s="7"/>
      <c r="B36" s="71" t="s">
        <v>103</v>
      </c>
      <c r="C36" s="72">
        <f>C34-C35</f>
        <v>3901739.0538461539</v>
      </c>
      <c r="D36" s="72">
        <f>D34-D35</f>
        <v>7719284.6688461555</v>
      </c>
      <c r="E36" s="72">
        <f t="shared" ref="E36:K36" si="13">E34-E35</f>
        <v>8974138.1853846218</v>
      </c>
      <c r="F36" s="72">
        <f t="shared" si="13"/>
        <v>10186558.471923083</v>
      </c>
      <c r="G36" s="72">
        <f t="shared" si="13"/>
        <v>11360367.916961545</v>
      </c>
      <c r="H36" s="72">
        <f t="shared" si="13"/>
        <v>11116781.285924986</v>
      </c>
      <c r="I36" s="72">
        <f t="shared" si="13"/>
        <v>12140904.424884727</v>
      </c>
      <c r="J36" s="72">
        <f t="shared" si="13"/>
        <v>13097192.918307319</v>
      </c>
      <c r="K36" s="72">
        <f t="shared" si="13"/>
        <v>13962613.930257373</v>
      </c>
    </row>
    <row r="37" spans="1:11" x14ac:dyDescent="0.6">
      <c r="A37" s="7"/>
      <c r="B37" s="71" t="s">
        <v>264</v>
      </c>
      <c r="C37" s="72">
        <f>C36*80%</f>
        <v>3121391.2430769233</v>
      </c>
      <c r="D37" s="72">
        <f t="shared" ref="D37:K37" si="14">D36*80%</f>
        <v>6175427.7350769248</v>
      </c>
      <c r="E37" s="72">
        <f t="shared" si="14"/>
        <v>7179310.5483076982</v>
      </c>
      <c r="F37" s="72">
        <f t="shared" si="14"/>
        <v>8149246.7775384672</v>
      </c>
      <c r="G37" s="72">
        <f t="shared" si="14"/>
        <v>9088294.3335692361</v>
      </c>
      <c r="H37" s="72">
        <f t="shared" si="14"/>
        <v>8893425.0287399888</v>
      </c>
      <c r="I37" s="72">
        <f t="shared" si="14"/>
        <v>9712723.5399077814</v>
      </c>
      <c r="J37" s="72">
        <f t="shared" si="14"/>
        <v>10477754.334645856</v>
      </c>
      <c r="K37" s="72">
        <f t="shared" si="14"/>
        <v>11170091.144205898</v>
      </c>
    </row>
    <row r="38" spans="1:11" x14ac:dyDescent="0.6">
      <c r="A38" s="7"/>
      <c r="B38" s="71" t="s">
        <v>113</v>
      </c>
      <c r="C38" s="72">
        <f>C36-C37</f>
        <v>780347.81076923059</v>
      </c>
      <c r="D38" s="72">
        <f t="shared" ref="D38:K38" si="15">D36-D37</f>
        <v>1543856.9337692307</v>
      </c>
      <c r="E38" s="72">
        <f t="shared" si="15"/>
        <v>1794827.6370769236</v>
      </c>
      <c r="F38" s="72">
        <f t="shared" si="15"/>
        <v>2037311.6943846159</v>
      </c>
      <c r="G38" s="72">
        <f t="shared" si="15"/>
        <v>2272073.583392309</v>
      </c>
      <c r="H38" s="72">
        <f t="shared" si="15"/>
        <v>2223356.2571849972</v>
      </c>
      <c r="I38" s="72">
        <f t="shared" si="15"/>
        <v>2428180.8849769458</v>
      </c>
      <c r="J38" s="72">
        <f t="shared" si="15"/>
        <v>2619438.5836614631</v>
      </c>
      <c r="K38" s="72">
        <f t="shared" si="15"/>
        <v>2792522.7860514745</v>
      </c>
    </row>
    <row r="40" spans="1:11" x14ac:dyDescent="0.6">
      <c r="A40" s="6" t="s">
        <v>308</v>
      </c>
    </row>
    <row r="41" spans="1:11" x14ac:dyDescent="0.6">
      <c r="A41" s="6" t="s">
        <v>280</v>
      </c>
    </row>
    <row r="42" spans="1:11" x14ac:dyDescent="0.6">
      <c r="B42" s="6" t="s">
        <v>169</v>
      </c>
      <c r="C42" s="6">
        <v>80000</v>
      </c>
      <c r="D42" s="6">
        <f>C42*1.05</f>
        <v>84000</v>
      </c>
      <c r="E42" s="6">
        <f t="shared" ref="E42:I42" si="16">D42*1.05</f>
        <v>88200</v>
      </c>
      <c r="F42" s="6">
        <f t="shared" si="16"/>
        <v>92610</v>
      </c>
      <c r="G42" s="6">
        <f t="shared" si="16"/>
        <v>97240.5</v>
      </c>
      <c r="H42" s="6">
        <f t="shared" si="16"/>
        <v>102102.52500000001</v>
      </c>
      <c r="I42" s="6">
        <f t="shared" si="16"/>
        <v>107207.65125000001</v>
      </c>
      <c r="J42" s="6">
        <f t="shared" ref="J42" si="17">I42*1.05</f>
        <v>112568.03381250001</v>
      </c>
      <c r="K42" s="6">
        <f t="shared" ref="K42" si="18">J42*1.05</f>
        <v>118196.43550312502</v>
      </c>
    </row>
    <row r="43" spans="1:11" x14ac:dyDescent="0.6">
      <c r="B43" s="6" t="s">
        <v>71</v>
      </c>
      <c r="C43" s="6">
        <f>C42*14</f>
        <v>1120000</v>
      </c>
      <c r="D43" s="6">
        <f t="shared" ref="D43:K43" si="19">D42*14</f>
        <v>1176000</v>
      </c>
      <c r="E43" s="6">
        <f t="shared" si="19"/>
        <v>1234800</v>
      </c>
      <c r="F43" s="6">
        <f t="shared" si="19"/>
        <v>1296540</v>
      </c>
      <c r="G43" s="6">
        <f t="shared" si="19"/>
        <v>1361367</v>
      </c>
      <c r="H43" s="6">
        <f t="shared" si="19"/>
        <v>1429435.35</v>
      </c>
      <c r="I43" s="6">
        <f t="shared" si="19"/>
        <v>1500907.1175000002</v>
      </c>
      <c r="J43" s="6">
        <f t="shared" si="19"/>
        <v>1575952.4733750001</v>
      </c>
      <c r="K43" s="6">
        <f t="shared" si="19"/>
        <v>1654750.0970437503</v>
      </c>
    </row>
    <row r="44" spans="1:11" x14ac:dyDescent="0.6">
      <c r="A44" s="6" t="s">
        <v>281</v>
      </c>
    </row>
    <row r="45" spans="1:11" x14ac:dyDescent="0.6">
      <c r="A45" s="6" t="s">
        <v>289</v>
      </c>
    </row>
    <row r="46" spans="1:11" x14ac:dyDescent="0.6">
      <c r="A46" s="6" t="s">
        <v>313</v>
      </c>
    </row>
  </sheetData>
  <mergeCells count="3">
    <mergeCell ref="C3:K3"/>
    <mergeCell ref="B3:B4"/>
    <mergeCell ref="A3:A4"/>
  </mergeCells>
  <pageMargins left="0.7" right="0.7" top="0.75" bottom="0.75" header="0.3" footer="0.3"/>
  <pageSetup scale="59" fitToHeight="0"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27" workbookViewId="0">
      <selection activeCell="H26" sqref="H26"/>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114</v>
      </c>
    </row>
    <row r="3" spans="1:11" x14ac:dyDescent="0.6">
      <c r="A3" s="6" t="s">
        <v>115</v>
      </c>
    </row>
    <row r="5" spans="1:11" x14ac:dyDescent="0.6">
      <c r="A5" s="132" t="s">
        <v>36</v>
      </c>
      <c r="B5" s="132" t="s">
        <v>37</v>
      </c>
      <c r="C5" s="132" t="s">
        <v>47</v>
      </c>
      <c r="D5" s="132"/>
      <c r="E5" s="132"/>
      <c r="F5" s="132"/>
      <c r="G5" s="132"/>
      <c r="H5" s="132"/>
      <c r="I5" s="132"/>
      <c r="J5" s="132"/>
      <c r="K5" s="132"/>
    </row>
    <row r="6" spans="1:11" x14ac:dyDescent="0.6">
      <c r="A6" s="132"/>
      <c r="B6" s="132"/>
      <c r="C6" s="27" t="s">
        <v>38</v>
      </c>
      <c r="D6" s="27" t="s">
        <v>39</v>
      </c>
      <c r="E6" s="27" t="s">
        <v>40</v>
      </c>
      <c r="F6" s="27" t="s">
        <v>41</v>
      </c>
      <c r="G6" s="27" t="s">
        <v>42</v>
      </c>
      <c r="H6" s="27" t="s">
        <v>43</v>
      </c>
      <c r="I6" s="27" t="s">
        <v>44</v>
      </c>
      <c r="J6" s="27" t="s">
        <v>45</v>
      </c>
      <c r="K6" s="27" t="s">
        <v>46</v>
      </c>
    </row>
    <row r="7" spans="1:11" x14ac:dyDescent="0.6">
      <c r="A7" s="37" t="s">
        <v>148</v>
      </c>
      <c r="B7" s="54" t="s">
        <v>116</v>
      </c>
      <c r="C7" s="55"/>
      <c r="D7" s="55"/>
      <c r="E7" s="56"/>
      <c r="F7" s="56"/>
      <c r="G7" s="56"/>
      <c r="H7" s="56"/>
      <c r="I7" s="56"/>
      <c r="J7" s="56"/>
      <c r="K7" s="56"/>
    </row>
    <row r="8" spans="1:11" x14ac:dyDescent="0.6">
      <c r="A8" s="29">
        <v>1</v>
      </c>
      <c r="B8" s="30" t="s">
        <v>117</v>
      </c>
      <c r="C8" s="12"/>
      <c r="D8" s="12"/>
      <c r="E8" s="13"/>
      <c r="F8" s="13"/>
      <c r="G8" s="13"/>
      <c r="H8" s="13"/>
      <c r="I8" s="13"/>
      <c r="J8" s="13"/>
      <c r="K8" s="13"/>
    </row>
    <row r="9" spans="1:11" x14ac:dyDescent="0.6">
      <c r="A9" s="29"/>
      <c r="B9" s="30" t="s">
        <v>118</v>
      </c>
      <c r="C9" s="57">
        <f>('Ann 9'!F9*100000)+('Ann 1'!C8*100000)</f>
        <v>17400000</v>
      </c>
      <c r="D9" s="58">
        <f>C11</f>
        <v>14960000</v>
      </c>
      <c r="E9" s="16">
        <f t="shared" ref="E9:K9" si="0">D11</f>
        <v>12869000</v>
      </c>
      <c r="F9" s="16">
        <f t="shared" si="0"/>
        <v>11076350</v>
      </c>
      <c r="G9" s="16">
        <f t="shared" si="0"/>
        <v>9538827.5</v>
      </c>
      <c r="H9" s="16">
        <f t="shared" si="0"/>
        <v>8219540.375</v>
      </c>
      <c r="I9" s="16">
        <f t="shared" si="0"/>
        <v>7086992.6187500004</v>
      </c>
      <c r="J9" s="16">
        <f t="shared" si="0"/>
        <v>6114288.6959375003</v>
      </c>
      <c r="K9" s="16">
        <f t="shared" si="0"/>
        <v>5278455.8645468755</v>
      </c>
    </row>
    <row r="10" spans="1:11" x14ac:dyDescent="0.6">
      <c r="A10" s="29"/>
      <c r="B10" s="30" t="s">
        <v>119</v>
      </c>
      <c r="C10" s="57">
        <f>'Ann 9'!C12+'Ann 9'!D12+'Ann 9'!E12</f>
        <v>2440000</v>
      </c>
      <c r="D10" s="58">
        <f>'Ann 9'!C13+'Ann 9'!D13+'Ann 9'!E13</f>
        <v>2091000</v>
      </c>
      <c r="E10" s="16">
        <f>'Ann 9'!C14+'Ann 9'!D14+'Ann 9'!E14</f>
        <v>1792650</v>
      </c>
      <c r="F10" s="16">
        <f>'Ann 9'!C15+'Ann 9'!D15+'Ann 9'!E15</f>
        <v>1537522.5</v>
      </c>
      <c r="G10" s="16">
        <f>'Ann 9'!C16+'Ann 9'!D16+'Ann 9'!E16</f>
        <v>1319287.125</v>
      </c>
      <c r="H10" s="16">
        <f>'Ann 9'!C17+'Ann 9'!D17+'Ann 9'!E17</f>
        <v>1132547.7562500001</v>
      </c>
      <c r="I10" s="16">
        <f>+'Ann 9'!C18+'Ann 9'!D18+'Ann 9'!E18</f>
        <v>972703.92281249992</v>
      </c>
      <c r="J10" s="16">
        <f>'Ann 9'!C19+'Ann 9'!D19+'Ann 9'!E19</f>
        <v>835832.83139062498</v>
      </c>
      <c r="K10" s="16">
        <f>+'Ann 9'!C20+'Ann 9'!D20+'Ann 9'!E20</f>
        <v>718588.95398203132</v>
      </c>
    </row>
    <row r="11" spans="1:11" x14ac:dyDescent="0.6">
      <c r="A11" s="29"/>
      <c r="B11" s="30" t="s">
        <v>120</v>
      </c>
      <c r="C11" s="57">
        <f>C9-C10</f>
        <v>14960000</v>
      </c>
      <c r="D11" s="58">
        <f>D9-D10</f>
        <v>12869000</v>
      </c>
      <c r="E11" s="16">
        <f t="shared" ref="E11:K11" si="1">E9-E10</f>
        <v>11076350</v>
      </c>
      <c r="F11" s="16">
        <f t="shared" si="1"/>
        <v>9538827.5</v>
      </c>
      <c r="G11" s="16">
        <f t="shared" si="1"/>
        <v>8219540.375</v>
      </c>
      <c r="H11" s="16">
        <f t="shared" si="1"/>
        <v>7086992.6187500004</v>
      </c>
      <c r="I11" s="16">
        <f t="shared" si="1"/>
        <v>6114288.6959375003</v>
      </c>
      <c r="J11" s="16">
        <f t="shared" si="1"/>
        <v>5278455.8645468755</v>
      </c>
      <c r="K11" s="16">
        <f t="shared" si="1"/>
        <v>4559866.9105648445</v>
      </c>
    </row>
    <row r="12" spans="1:11" x14ac:dyDescent="0.6">
      <c r="A12" s="29">
        <v>2</v>
      </c>
      <c r="B12" s="30" t="s">
        <v>121</v>
      </c>
      <c r="C12" s="57">
        <f>'Ann 4'!C23*60/300</f>
        <v>14893416</v>
      </c>
      <c r="D12" s="57">
        <f>'Ann 4'!D23*60/300</f>
        <v>17747987.399999999</v>
      </c>
      <c r="E12" s="57">
        <f>'Ann 4'!E23*60/300</f>
        <v>19113217.200000003</v>
      </c>
      <c r="F12" s="57">
        <f>'Ann 4'!F23*60/300</f>
        <v>20478447.000000004</v>
      </c>
      <c r="G12" s="57">
        <f>'Ann 4'!G23*60/300</f>
        <v>21843676.800000004</v>
      </c>
      <c r="H12" s="57">
        <f>'Ann 4'!H23*60/300</f>
        <v>23208906.600000001</v>
      </c>
      <c r="I12" s="57">
        <f>'Ann 4'!I23*60/300</f>
        <v>24574136.400000002</v>
      </c>
      <c r="J12" s="57">
        <f>'Ann 4'!J23*60/300</f>
        <v>25939366.200000003</v>
      </c>
      <c r="K12" s="57">
        <f>'Ann 4'!K23*60/300</f>
        <v>27304596</v>
      </c>
    </row>
    <row r="13" spans="1:11" x14ac:dyDescent="0.6">
      <c r="A13" s="29">
        <v>3</v>
      </c>
      <c r="B13" s="59" t="s">
        <v>266</v>
      </c>
      <c r="C13" s="57">
        <f>'Ann 4'!C13</f>
        <v>696767.99999999814</v>
      </c>
      <c r="D13" s="57">
        <f>'Ann 4'!D13</f>
        <v>1451600</v>
      </c>
      <c r="E13" s="57">
        <f>'Ann 4'!E13</f>
        <v>2264495.9999999963</v>
      </c>
      <c r="F13" s="57">
        <f>'Ann 4'!F13</f>
        <v>3135455.9999999963</v>
      </c>
      <c r="G13" s="57">
        <f>'Ann 4'!G13</f>
        <v>4064480</v>
      </c>
      <c r="H13" s="57">
        <f>'Ann 4'!H13</f>
        <v>3077391.9999999925</v>
      </c>
      <c r="I13" s="57">
        <f>'Ann 4'!I13</f>
        <v>2032240</v>
      </c>
      <c r="J13" s="57">
        <f>'Ann 4'!J13</f>
        <v>929024.00000000373</v>
      </c>
      <c r="K13" s="57">
        <f>'Ann 4'!K13</f>
        <v>-232255.99999999627</v>
      </c>
    </row>
    <row r="14" spans="1:11" x14ac:dyDescent="0.6">
      <c r="A14" s="29">
        <v>4</v>
      </c>
      <c r="B14" s="30" t="s">
        <v>122</v>
      </c>
      <c r="C14" s="60">
        <f>'Ann 14'!C21</f>
        <v>7142916.0876923092</v>
      </c>
      <c r="D14" s="60">
        <f>'Ann 14'!D21</f>
        <v>7207285.3003076836</v>
      </c>
      <c r="E14" s="60">
        <f>'Ann 14'!E21</f>
        <v>7652860.1162307691</v>
      </c>
      <c r="F14" s="60">
        <f>'Ann 14'!F21</f>
        <v>8027727.4894615319</v>
      </c>
      <c r="G14" s="60">
        <f>'Ann 14'!G21</f>
        <v>8361057.3766999934</v>
      </c>
      <c r="H14" s="60">
        <f>'Ann 14'!H21</f>
        <v>10375042.568981169</v>
      </c>
      <c r="I14" s="60">
        <f>'Ann 14'!I21</f>
        <v>12492072.555616744</v>
      </c>
      <c r="J14" s="60">
        <f>'Ann 14'!J21</f>
        <v>17067706.995668832</v>
      </c>
      <c r="K14" s="60">
        <f>'Ann 14'!K21</f>
        <v>21757245.760702342</v>
      </c>
    </row>
    <row r="15" spans="1:11" x14ac:dyDescent="0.6">
      <c r="A15" s="29"/>
      <c r="B15" s="30" t="s">
        <v>130</v>
      </c>
      <c r="C15" s="57">
        <f t="shared" ref="C15:K15" si="2">SUM(C11:C14)</f>
        <v>37693100.087692305</v>
      </c>
      <c r="D15" s="57">
        <f t="shared" si="2"/>
        <v>39275872.700307682</v>
      </c>
      <c r="E15" s="61">
        <f t="shared" si="2"/>
        <v>40106923.316230766</v>
      </c>
      <c r="F15" s="61">
        <f t="shared" si="2"/>
        <v>41180457.989461534</v>
      </c>
      <c r="G15" s="61">
        <f t="shared" si="2"/>
        <v>42488754.551699996</v>
      </c>
      <c r="H15" s="61">
        <f t="shared" si="2"/>
        <v>43748333.787731163</v>
      </c>
      <c r="I15" s="61">
        <f t="shared" si="2"/>
        <v>45212737.651554242</v>
      </c>
      <c r="J15" s="61">
        <f t="shared" si="2"/>
        <v>49214553.060215712</v>
      </c>
      <c r="K15" s="61">
        <f t="shared" si="2"/>
        <v>53389452.671267189</v>
      </c>
    </row>
    <row r="16" spans="1:11" x14ac:dyDescent="0.6">
      <c r="A16" s="29"/>
      <c r="B16" s="30"/>
      <c r="C16" s="57"/>
      <c r="D16" s="57"/>
      <c r="E16" s="61"/>
      <c r="F16" s="61"/>
      <c r="G16" s="61"/>
      <c r="H16" s="61"/>
      <c r="I16" s="61"/>
      <c r="J16" s="61"/>
      <c r="K16" s="61"/>
    </row>
    <row r="17" spans="1:13" x14ac:dyDescent="0.6">
      <c r="A17" s="29" t="s">
        <v>149</v>
      </c>
      <c r="B17" s="62" t="s">
        <v>123</v>
      </c>
      <c r="C17" s="12"/>
      <c r="D17" s="12"/>
      <c r="E17" s="13"/>
      <c r="F17" s="13"/>
      <c r="G17" s="13"/>
      <c r="H17" s="13"/>
      <c r="I17" s="13"/>
      <c r="J17" s="13"/>
      <c r="K17" s="13"/>
    </row>
    <row r="18" spans="1:13" x14ac:dyDescent="0.6">
      <c r="A18" s="29">
        <v>1</v>
      </c>
      <c r="B18" s="30" t="s">
        <v>124</v>
      </c>
      <c r="C18" s="60">
        <f>'Ann 2'!C4*100000</f>
        <v>2250000</v>
      </c>
      <c r="D18" s="60">
        <f>C21</f>
        <v>3030347.8107692306</v>
      </c>
      <c r="E18" s="63">
        <f t="shared" ref="E18:K18" si="3">D21</f>
        <v>4574204.7445384618</v>
      </c>
      <c r="F18" s="63">
        <f t="shared" si="3"/>
        <v>6369032.3816153854</v>
      </c>
      <c r="G18" s="63">
        <f t="shared" si="3"/>
        <v>8406344.0760000013</v>
      </c>
      <c r="H18" s="63">
        <f t="shared" si="3"/>
        <v>10678417.65939231</v>
      </c>
      <c r="I18" s="63">
        <f t="shared" si="3"/>
        <v>12901773.916577308</v>
      </c>
      <c r="J18" s="63">
        <f t="shared" si="3"/>
        <v>15329954.801554253</v>
      </c>
      <c r="K18" s="63">
        <f t="shared" si="3"/>
        <v>17949393.385215715</v>
      </c>
    </row>
    <row r="19" spans="1:13" x14ac:dyDescent="0.6">
      <c r="A19" s="29"/>
      <c r="B19" s="30" t="s">
        <v>125</v>
      </c>
      <c r="C19" s="60">
        <f>'Ann 4'!C38</f>
        <v>780347.81076923059</v>
      </c>
      <c r="D19" s="60">
        <f>'Ann 4'!D38</f>
        <v>1543856.9337692307</v>
      </c>
      <c r="E19" s="63">
        <f>'Ann 4'!E38</f>
        <v>1794827.6370769236</v>
      </c>
      <c r="F19" s="63">
        <f>'Ann 4'!F38</f>
        <v>2037311.6943846159</v>
      </c>
      <c r="G19" s="63">
        <f>'Ann 4'!G38</f>
        <v>2272073.583392309</v>
      </c>
      <c r="H19" s="63">
        <f>'Ann 4'!H38</f>
        <v>2223356.2571849972</v>
      </c>
      <c r="I19" s="63">
        <f>'Ann 4'!I38</f>
        <v>2428180.8849769458</v>
      </c>
      <c r="J19" s="63">
        <f>'Ann 4'!J38</f>
        <v>2619438.5836614631</v>
      </c>
      <c r="K19" s="63">
        <f>'Ann 4'!K38</f>
        <v>2792522.7860514745</v>
      </c>
    </row>
    <row r="20" spans="1:13" x14ac:dyDescent="0.6">
      <c r="A20" s="29"/>
      <c r="B20" s="30" t="s">
        <v>126</v>
      </c>
      <c r="C20" s="60">
        <v>0</v>
      </c>
      <c r="D20" s="60">
        <v>0</v>
      </c>
      <c r="E20" s="63">
        <v>0</v>
      </c>
      <c r="F20" s="63">
        <v>0</v>
      </c>
      <c r="G20" s="63">
        <v>0</v>
      </c>
      <c r="H20" s="63">
        <v>0</v>
      </c>
      <c r="I20" s="63">
        <v>0</v>
      </c>
      <c r="J20" s="63">
        <v>0</v>
      </c>
      <c r="K20" s="63">
        <v>0</v>
      </c>
    </row>
    <row r="21" spans="1:13" x14ac:dyDescent="0.6">
      <c r="A21" s="29"/>
      <c r="B21" s="30" t="s">
        <v>127</v>
      </c>
      <c r="C21" s="60">
        <f>C18+C19</f>
        <v>3030347.8107692306</v>
      </c>
      <c r="D21" s="60">
        <f t="shared" ref="D21:K21" si="4">D18+D19</f>
        <v>4574204.7445384618</v>
      </c>
      <c r="E21" s="63">
        <f t="shared" si="4"/>
        <v>6369032.3816153854</v>
      </c>
      <c r="F21" s="63">
        <f t="shared" si="4"/>
        <v>8406344.0760000013</v>
      </c>
      <c r="G21" s="63">
        <f t="shared" si="4"/>
        <v>10678417.65939231</v>
      </c>
      <c r="H21" s="63">
        <f t="shared" si="4"/>
        <v>12901773.916577308</v>
      </c>
      <c r="I21" s="63">
        <f t="shared" si="4"/>
        <v>15329954.801554253</v>
      </c>
      <c r="J21" s="63">
        <f t="shared" si="4"/>
        <v>17949393.385215715</v>
      </c>
      <c r="K21" s="63">
        <f t="shared" si="4"/>
        <v>20741916.171267189</v>
      </c>
    </row>
    <row r="22" spans="1:13" x14ac:dyDescent="0.6">
      <c r="A22" s="29">
        <v>2</v>
      </c>
      <c r="B22" s="30" t="s">
        <v>128</v>
      </c>
      <c r="C22" s="60">
        <f>'Ann 13'!C13*100000</f>
        <v>14076923.076923078</v>
      </c>
      <c r="D22" s="60">
        <f>'Ann 13'!C17*100000</f>
        <v>11730769.230769232</v>
      </c>
      <c r="E22" s="60">
        <f>'Ann 13'!C21*100000</f>
        <v>9384615.3846153859</v>
      </c>
      <c r="F22" s="60">
        <f>'Ann 13'!C25*100000</f>
        <v>7038461.5384615418</v>
      </c>
      <c r="G22" s="63">
        <f>('Ann 13'!C28-'Ann 13'!D28)*100000</f>
        <v>4692307.6923076967</v>
      </c>
      <c r="H22" s="63">
        <f>('Ann 13'!C32-'Ann 13'!D32)*100000</f>
        <v>2346153.8461538511</v>
      </c>
      <c r="I22" s="63">
        <v>0</v>
      </c>
      <c r="J22" s="63">
        <v>0</v>
      </c>
      <c r="K22" s="63">
        <v>0</v>
      </c>
    </row>
    <row r="23" spans="1:13" x14ac:dyDescent="0.6">
      <c r="A23" s="29">
        <v>3</v>
      </c>
      <c r="B23" s="59" t="s">
        <v>161</v>
      </c>
      <c r="C23" s="60">
        <f>'Ann 2'!$C$7*100000</f>
        <v>5000000</v>
      </c>
      <c r="D23" s="60">
        <f>'Ann 2'!$C$7*100000</f>
        <v>5000000</v>
      </c>
      <c r="E23" s="60">
        <f>'Ann 2'!$C$7*100000</f>
        <v>5000000</v>
      </c>
      <c r="F23" s="60">
        <f>'Ann 2'!$C$7*100000</f>
        <v>5000000</v>
      </c>
      <c r="G23" s="60">
        <f>'Ann 2'!$C$7*100000</f>
        <v>5000000</v>
      </c>
      <c r="H23" s="60">
        <f>'Ann 2'!$C$7*100000</f>
        <v>5000000</v>
      </c>
      <c r="I23" s="60">
        <f>'Ann 2'!$C$7*100000</f>
        <v>5000000</v>
      </c>
      <c r="J23" s="60">
        <f>'Ann 2'!$C$7*100000</f>
        <v>5000000</v>
      </c>
      <c r="K23" s="60">
        <f>'Ann 2'!$C$7*100000</f>
        <v>5000000</v>
      </c>
    </row>
    <row r="24" spans="1:13" x14ac:dyDescent="0.6">
      <c r="A24" s="29">
        <v>4</v>
      </c>
      <c r="B24" s="59" t="s">
        <v>156</v>
      </c>
      <c r="C24" s="60">
        <f>('Ann 4'!C10+'Ann 4'!C7)*90/300</f>
        <v>15585829.199999999</v>
      </c>
      <c r="D24" s="60">
        <f>('Ann 4'!D10+'Ann 4'!D7)*90/300</f>
        <v>17970898.725000001</v>
      </c>
      <c r="E24" s="60">
        <f>('Ann 4'!E10+'Ann 4'!E7)*90/300</f>
        <v>19353275.550000004</v>
      </c>
      <c r="F24" s="60">
        <f>('Ann 4'!F10+'Ann 4'!F7)*90/300</f>
        <v>20735652.375</v>
      </c>
      <c r="G24" s="60">
        <f>('Ann 4'!G10+'Ann 4'!G7)*90/300</f>
        <v>22118029.199999999</v>
      </c>
      <c r="H24" s="60">
        <f>('Ann 4'!H10+'Ann 4'!H7)*90/300</f>
        <v>23500406.025000002</v>
      </c>
      <c r="I24" s="60">
        <f>('Ann 4'!I10+'Ann 4'!I7)*90/300</f>
        <v>24882782.850000001</v>
      </c>
      <c r="J24" s="60">
        <f>('Ann 4'!J10+'Ann 4'!J7)*90/300</f>
        <v>26265159.675000001</v>
      </c>
      <c r="K24" s="60">
        <f>('Ann 4'!K10+'Ann 4'!K7)*90/300</f>
        <v>27647536.5</v>
      </c>
    </row>
    <row r="25" spans="1:13" x14ac:dyDescent="0.6">
      <c r="A25" s="29"/>
      <c r="B25" s="30" t="s">
        <v>129</v>
      </c>
      <c r="C25" s="57">
        <f t="shared" ref="C25:K25" si="5">SUM(C21:C24)</f>
        <v>37693100.087692305</v>
      </c>
      <c r="D25" s="57">
        <f t="shared" si="5"/>
        <v>39275872.700307697</v>
      </c>
      <c r="E25" s="57">
        <f t="shared" si="5"/>
        <v>40106923.316230774</v>
      </c>
      <c r="F25" s="57">
        <f t="shared" si="5"/>
        <v>41180457.989461541</v>
      </c>
      <c r="G25" s="57">
        <f t="shared" si="5"/>
        <v>42488754.551700011</v>
      </c>
      <c r="H25" s="57">
        <f t="shared" si="5"/>
        <v>43748333.787731156</v>
      </c>
      <c r="I25" s="57">
        <f t="shared" si="5"/>
        <v>45212737.651554257</v>
      </c>
      <c r="J25" s="57">
        <f t="shared" si="5"/>
        <v>49214553.060215712</v>
      </c>
      <c r="K25" s="57">
        <f t="shared" si="5"/>
        <v>53389452.671267189</v>
      </c>
    </row>
    <row r="26" spans="1:13" x14ac:dyDescent="0.6">
      <c r="A26" s="29"/>
      <c r="B26" s="30"/>
      <c r="C26" s="57"/>
      <c r="D26" s="57"/>
      <c r="E26" s="57"/>
      <c r="F26" s="57"/>
      <c r="G26" s="57"/>
      <c r="H26" s="57"/>
      <c r="I26" s="57"/>
      <c r="J26" s="57"/>
      <c r="K26" s="57"/>
      <c r="L26" s="64"/>
      <c r="M26" s="30"/>
    </row>
    <row r="27" spans="1:13" s="5" customFormat="1" x14ac:dyDescent="0.6">
      <c r="A27" s="118"/>
      <c r="B27" s="119" t="s">
        <v>131</v>
      </c>
      <c r="C27" s="120"/>
      <c r="D27" s="120"/>
      <c r="E27" s="121"/>
      <c r="F27" s="121"/>
      <c r="G27" s="121"/>
      <c r="H27" s="121"/>
      <c r="I27" s="121"/>
      <c r="J27" s="121"/>
      <c r="K27" s="121"/>
    </row>
    <row r="28" spans="1:13" x14ac:dyDescent="0.6">
      <c r="A28" s="29"/>
      <c r="B28" s="30" t="s">
        <v>132</v>
      </c>
      <c r="C28" s="57">
        <f t="shared" ref="C28:K28" si="6">SUM(C12:C14)</f>
        <v>22733100.087692305</v>
      </c>
      <c r="D28" s="57">
        <f t="shared" si="6"/>
        <v>26406872.700307682</v>
      </c>
      <c r="E28" s="61">
        <f t="shared" si="6"/>
        <v>29030573.316230766</v>
      </c>
      <c r="F28" s="61">
        <f t="shared" si="6"/>
        <v>31641630.489461534</v>
      </c>
      <c r="G28" s="61">
        <f t="shared" si="6"/>
        <v>34269214.176699996</v>
      </c>
      <c r="H28" s="61">
        <f t="shared" si="6"/>
        <v>36661341.168981165</v>
      </c>
      <c r="I28" s="61">
        <f t="shared" si="6"/>
        <v>39098448.955616742</v>
      </c>
      <c r="J28" s="61">
        <f t="shared" si="6"/>
        <v>43936097.195668839</v>
      </c>
      <c r="K28" s="61">
        <f t="shared" si="6"/>
        <v>48829585.760702342</v>
      </c>
    </row>
    <row r="29" spans="1:13" x14ac:dyDescent="0.6">
      <c r="A29" s="29"/>
      <c r="B29" s="30" t="s">
        <v>133</v>
      </c>
      <c r="C29" s="57">
        <f>C24+C23</f>
        <v>20585829.199999999</v>
      </c>
      <c r="D29" s="57">
        <f t="shared" ref="D29:K29" si="7">D24+D23</f>
        <v>22970898.725000001</v>
      </c>
      <c r="E29" s="57">
        <f t="shared" si="7"/>
        <v>24353275.550000004</v>
      </c>
      <c r="F29" s="57">
        <f t="shared" si="7"/>
        <v>25735652.375</v>
      </c>
      <c r="G29" s="57">
        <f t="shared" si="7"/>
        <v>27118029.199999999</v>
      </c>
      <c r="H29" s="57">
        <f t="shared" si="7"/>
        <v>28500406.025000002</v>
      </c>
      <c r="I29" s="57">
        <f t="shared" si="7"/>
        <v>29882782.850000001</v>
      </c>
      <c r="J29" s="57">
        <f t="shared" si="7"/>
        <v>31265159.675000001</v>
      </c>
      <c r="K29" s="57">
        <f t="shared" si="7"/>
        <v>32647536.5</v>
      </c>
    </row>
    <row r="30" spans="1:13" x14ac:dyDescent="0.6">
      <c r="A30" s="29"/>
      <c r="B30" s="30" t="s">
        <v>137</v>
      </c>
      <c r="C30" s="12">
        <f>C28/C29</f>
        <v>1.1043082047767261</v>
      </c>
      <c r="D30" s="12">
        <f>D28/D29</f>
        <v>1.1495794316296468</v>
      </c>
      <c r="E30" s="13">
        <f t="shared" ref="E30:K30" si="8">E28/E29</f>
        <v>1.1920603147050073</v>
      </c>
      <c r="F30" s="13">
        <f t="shared" si="8"/>
        <v>1.2294862406596185</v>
      </c>
      <c r="G30" s="13">
        <f t="shared" si="8"/>
        <v>1.2637059250861784</v>
      </c>
      <c r="H30" s="13">
        <f t="shared" si="8"/>
        <v>1.2863445221384757</v>
      </c>
      <c r="I30" s="13">
        <f t="shared" si="8"/>
        <v>1.3083938384144413</v>
      </c>
      <c r="J30" s="13">
        <f t="shared" si="8"/>
        <v>1.4052733986450954</v>
      </c>
      <c r="K30" s="13">
        <f t="shared" si="8"/>
        <v>1.4956591214991779</v>
      </c>
    </row>
    <row r="31" spans="1:13" x14ac:dyDescent="0.6">
      <c r="A31" s="29"/>
      <c r="B31" s="59" t="s">
        <v>150</v>
      </c>
      <c r="C31" s="12"/>
      <c r="D31" s="12"/>
      <c r="E31" s="13"/>
      <c r="F31" s="13">
        <f>AVERAGE(C30:K30)</f>
        <v>1.2705345552838185</v>
      </c>
      <c r="G31" s="13"/>
      <c r="H31" s="13"/>
      <c r="I31" s="13"/>
      <c r="J31" s="13"/>
      <c r="K31" s="13"/>
    </row>
    <row r="32" spans="1:13" x14ac:dyDescent="0.6">
      <c r="A32" s="29"/>
      <c r="B32" s="30"/>
      <c r="C32" s="12"/>
      <c r="D32" s="12"/>
      <c r="E32" s="13"/>
      <c r="F32" s="13"/>
      <c r="G32" s="13"/>
      <c r="H32" s="13"/>
      <c r="I32" s="13"/>
      <c r="J32" s="13"/>
      <c r="K32" s="13"/>
    </row>
    <row r="33" spans="1:11" s="5" customFormat="1" x14ac:dyDescent="0.6">
      <c r="A33" s="118"/>
      <c r="B33" s="119" t="s">
        <v>134</v>
      </c>
      <c r="C33" s="120"/>
      <c r="D33" s="120"/>
      <c r="E33" s="121"/>
      <c r="F33" s="121"/>
      <c r="G33" s="121"/>
      <c r="H33" s="121"/>
      <c r="I33" s="121"/>
      <c r="J33" s="121"/>
      <c r="K33" s="121"/>
    </row>
    <row r="34" spans="1:11" x14ac:dyDescent="0.6">
      <c r="A34" s="29"/>
      <c r="B34" s="30" t="s">
        <v>135</v>
      </c>
      <c r="C34" s="57">
        <f>C22+C23</f>
        <v>19076923.07692308</v>
      </c>
      <c r="D34" s="57">
        <f t="shared" ref="D34:K34" si="9">D22+D23</f>
        <v>16730769.230769232</v>
      </c>
      <c r="E34" s="57">
        <f t="shared" si="9"/>
        <v>14384615.384615386</v>
      </c>
      <c r="F34" s="57">
        <f t="shared" si="9"/>
        <v>12038461.538461542</v>
      </c>
      <c r="G34" s="57">
        <f t="shared" si="9"/>
        <v>9692307.6923076957</v>
      </c>
      <c r="H34" s="57">
        <f t="shared" si="9"/>
        <v>7346153.8461538516</v>
      </c>
      <c r="I34" s="57">
        <f t="shared" si="9"/>
        <v>5000000</v>
      </c>
      <c r="J34" s="57">
        <f t="shared" si="9"/>
        <v>5000000</v>
      </c>
      <c r="K34" s="57">
        <f t="shared" si="9"/>
        <v>5000000</v>
      </c>
    </row>
    <row r="35" spans="1:11" x14ac:dyDescent="0.6">
      <c r="A35" s="29"/>
      <c r="B35" s="30" t="s">
        <v>136</v>
      </c>
      <c r="C35" s="57">
        <f t="shared" ref="C35:K35" si="10">C21</f>
        <v>3030347.8107692306</v>
      </c>
      <c r="D35" s="57">
        <f t="shared" si="10"/>
        <v>4574204.7445384618</v>
      </c>
      <c r="E35" s="61">
        <f t="shared" si="10"/>
        <v>6369032.3816153854</v>
      </c>
      <c r="F35" s="61">
        <f t="shared" si="10"/>
        <v>8406344.0760000013</v>
      </c>
      <c r="G35" s="61">
        <f t="shared" si="10"/>
        <v>10678417.65939231</v>
      </c>
      <c r="H35" s="61">
        <f t="shared" si="10"/>
        <v>12901773.916577308</v>
      </c>
      <c r="I35" s="61">
        <f t="shared" si="10"/>
        <v>15329954.801554253</v>
      </c>
      <c r="J35" s="61">
        <f t="shared" si="10"/>
        <v>17949393.385215715</v>
      </c>
      <c r="K35" s="61">
        <f t="shared" si="10"/>
        <v>20741916.171267189</v>
      </c>
    </row>
    <row r="36" spans="1:11" x14ac:dyDescent="0.6">
      <c r="A36" s="29"/>
      <c r="B36" s="30" t="s">
        <v>137</v>
      </c>
      <c r="C36" s="12">
        <f>C34/C35</f>
        <v>6.2952915863742218</v>
      </c>
      <c r="D36" s="12">
        <f t="shared" ref="D36:K36" si="11">D34/D35</f>
        <v>3.6576345321545878</v>
      </c>
      <c r="E36" s="13">
        <f t="shared" si="11"/>
        <v>2.2585244543798346</v>
      </c>
      <c r="F36" s="13">
        <f t="shared" si="11"/>
        <v>1.4320686174185027</v>
      </c>
      <c r="G36" s="13">
        <f t="shared" si="11"/>
        <v>0.90765392415445822</v>
      </c>
      <c r="H36" s="13">
        <f t="shared" si="11"/>
        <v>0.56939099178562436</v>
      </c>
      <c r="I36" s="13">
        <f t="shared" si="11"/>
        <v>0.32615882203991015</v>
      </c>
      <c r="J36" s="13">
        <f t="shared" si="11"/>
        <v>0.27856094591577252</v>
      </c>
      <c r="K36" s="13">
        <f t="shared" si="11"/>
        <v>0.24105776721469288</v>
      </c>
    </row>
    <row r="37" spans="1:11" x14ac:dyDescent="0.6">
      <c r="A37" s="29"/>
      <c r="B37" s="59" t="s">
        <v>150</v>
      </c>
      <c r="C37" s="12"/>
      <c r="D37" s="12"/>
      <c r="E37" s="13"/>
      <c r="F37" s="13">
        <f>AVERAGE(C36:K36)</f>
        <v>1.7740379601597338</v>
      </c>
      <c r="G37" s="13"/>
      <c r="H37" s="13"/>
      <c r="I37" s="61"/>
      <c r="J37" s="61"/>
      <c r="K37" s="61"/>
    </row>
    <row r="38" spans="1:11" x14ac:dyDescent="0.6">
      <c r="A38" s="29"/>
      <c r="B38" s="30"/>
      <c r="C38" s="12"/>
      <c r="D38" s="12"/>
      <c r="E38" s="13"/>
      <c r="F38" s="13"/>
      <c r="G38" s="13"/>
      <c r="H38" s="13"/>
      <c r="I38" s="61"/>
      <c r="J38" s="61"/>
      <c r="K38" s="61"/>
    </row>
    <row r="39" spans="1:11" s="5" customFormat="1" x14ac:dyDescent="0.6">
      <c r="A39" s="118"/>
      <c r="B39" s="119" t="s">
        <v>151</v>
      </c>
      <c r="C39" s="120"/>
      <c r="D39" s="120"/>
      <c r="E39" s="121"/>
      <c r="F39" s="121"/>
      <c r="G39" s="121"/>
      <c r="H39" s="121"/>
      <c r="I39" s="122"/>
      <c r="J39" s="122"/>
      <c r="K39" s="122"/>
    </row>
    <row r="40" spans="1:11" x14ac:dyDescent="0.6">
      <c r="A40" s="29"/>
      <c r="B40" s="59" t="s">
        <v>152</v>
      </c>
      <c r="C40" s="57">
        <f t="shared" ref="C40:K40" si="12">C11</f>
        <v>14960000</v>
      </c>
      <c r="D40" s="57">
        <f t="shared" si="12"/>
        <v>12869000</v>
      </c>
      <c r="E40" s="57">
        <f t="shared" si="12"/>
        <v>11076350</v>
      </c>
      <c r="F40" s="57">
        <f t="shared" si="12"/>
        <v>9538827.5</v>
      </c>
      <c r="G40" s="57">
        <f t="shared" si="12"/>
        <v>8219540.375</v>
      </c>
      <c r="H40" s="57">
        <f t="shared" si="12"/>
        <v>7086992.6187500004</v>
      </c>
      <c r="I40" s="57">
        <f t="shared" si="12"/>
        <v>6114288.6959375003</v>
      </c>
      <c r="J40" s="57">
        <f t="shared" si="12"/>
        <v>5278455.8645468755</v>
      </c>
      <c r="K40" s="57">
        <f t="shared" si="12"/>
        <v>4559866.9105648445</v>
      </c>
    </row>
    <row r="41" spans="1:11" x14ac:dyDescent="0.6">
      <c r="A41" s="29"/>
      <c r="B41" s="59" t="s">
        <v>135</v>
      </c>
      <c r="C41" s="57">
        <f t="shared" ref="C41:K41" si="13">C22+C23</f>
        <v>19076923.07692308</v>
      </c>
      <c r="D41" s="57">
        <f t="shared" si="13"/>
        <v>16730769.230769232</v>
      </c>
      <c r="E41" s="57">
        <f t="shared" si="13"/>
        <v>14384615.384615386</v>
      </c>
      <c r="F41" s="57">
        <f t="shared" si="13"/>
        <v>12038461.538461542</v>
      </c>
      <c r="G41" s="57">
        <f t="shared" si="13"/>
        <v>9692307.6923076957</v>
      </c>
      <c r="H41" s="57">
        <f t="shared" si="13"/>
        <v>7346153.8461538516</v>
      </c>
      <c r="I41" s="57">
        <f t="shared" si="13"/>
        <v>5000000</v>
      </c>
      <c r="J41" s="57">
        <f t="shared" si="13"/>
        <v>5000000</v>
      </c>
      <c r="K41" s="57">
        <f t="shared" si="13"/>
        <v>5000000</v>
      </c>
    </row>
    <row r="42" spans="1:11" x14ac:dyDescent="0.6">
      <c r="A42" s="29"/>
      <c r="B42" s="59" t="s">
        <v>146</v>
      </c>
      <c r="C42" s="12">
        <f>C40/C41</f>
        <v>0.78419354838709665</v>
      </c>
      <c r="D42" s="12">
        <f t="shared" ref="D42:G42" si="14">D40/D41</f>
        <v>0.76918160919540224</v>
      </c>
      <c r="E42" s="12">
        <f t="shared" si="14"/>
        <v>0.77001363636363629</v>
      </c>
      <c r="F42" s="12">
        <f t="shared" si="14"/>
        <v>0.79236266773162922</v>
      </c>
      <c r="G42" s="12">
        <f t="shared" si="14"/>
        <v>0.84804781646825367</v>
      </c>
      <c r="H42" s="57">
        <v>0</v>
      </c>
      <c r="I42" s="57">
        <v>0</v>
      </c>
      <c r="J42" s="57">
        <v>0</v>
      </c>
      <c r="K42" s="57">
        <v>0</v>
      </c>
    </row>
    <row r="43" spans="1:11" x14ac:dyDescent="0.6">
      <c r="A43" s="29"/>
      <c r="B43" s="59"/>
      <c r="C43" s="12"/>
      <c r="D43" s="12"/>
      <c r="E43" s="13"/>
      <c r="F43" s="13">
        <f>AVERAGE(C42:K42)</f>
        <v>0.44042214201622421</v>
      </c>
      <c r="G43" s="13"/>
      <c r="H43" s="13"/>
      <c r="I43" s="13"/>
      <c r="J43" s="13"/>
      <c r="K43" s="13"/>
    </row>
    <row r="44" spans="1:11" x14ac:dyDescent="0.6">
      <c r="A44" s="29"/>
      <c r="B44" s="30"/>
      <c r="C44" s="12"/>
      <c r="D44" s="12"/>
      <c r="E44" s="13"/>
      <c r="F44" s="13"/>
      <c r="G44" s="13"/>
      <c r="H44" s="13"/>
      <c r="I44" s="61"/>
      <c r="J44" s="61"/>
      <c r="K44" s="61"/>
    </row>
    <row r="45" spans="1:11" s="5" customFormat="1" x14ac:dyDescent="0.6">
      <c r="A45" s="118"/>
      <c r="B45" s="119" t="s">
        <v>143</v>
      </c>
      <c r="C45" s="120"/>
      <c r="D45" s="120"/>
      <c r="E45" s="121"/>
      <c r="F45" s="121"/>
      <c r="G45" s="121"/>
      <c r="H45" s="121"/>
      <c r="I45" s="122"/>
      <c r="J45" s="122"/>
      <c r="K45" s="122"/>
    </row>
    <row r="46" spans="1:11" x14ac:dyDescent="0.6">
      <c r="A46" s="29"/>
      <c r="B46" s="30" t="s">
        <v>144</v>
      </c>
      <c r="C46" s="60">
        <f>'Ann 4'!C29</f>
        <v>1406201.923076923</v>
      </c>
      <c r="D46" s="60">
        <f>'Ann 4'!D29</f>
        <v>1291826.923076923</v>
      </c>
      <c r="E46" s="60">
        <f>'Ann 4'!E29</f>
        <v>1151057.6923076925</v>
      </c>
      <c r="F46" s="60">
        <f>'Ann 4'!F29</f>
        <v>1010288.4615384617</v>
      </c>
      <c r="G46" s="60">
        <f>'Ann 4'!G29</f>
        <v>869519.23076923098</v>
      </c>
      <c r="H46" s="60">
        <f>'Ann 4'!H29</f>
        <v>728750.00000000023</v>
      </c>
      <c r="I46" s="60">
        <f>'Ann 4'!I29</f>
        <v>587980.76923076948</v>
      </c>
      <c r="J46" s="60">
        <f>'Ann 4'!J29</f>
        <v>500000</v>
      </c>
      <c r="K46" s="60">
        <f>'Ann 4'!K29</f>
        <v>500000</v>
      </c>
    </row>
    <row r="47" spans="1:11" x14ac:dyDescent="0.6">
      <c r="A47" s="29"/>
      <c r="B47" s="30" t="s">
        <v>147</v>
      </c>
      <c r="C47" s="60">
        <f>(SUM('Ann 13'!D9:D12)*100000)+('Ann 1'!$C$25*100000)</f>
        <v>6173076.923076923</v>
      </c>
      <c r="D47" s="60">
        <f>(SUM('Ann 13'!D13:D16)*100000)+('Ann 1'!$C$25*100000)</f>
        <v>7346153.846153846</v>
      </c>
      <c r="E47" s="60">
        <f>(SUM('Ann 13'!D17:D20)*100000)+('Ann 1'!$C$25*100000)</f>
        <v>7346153.846153846</v>
      </c>
      <c r="F47" s="60">
        <f>(SUM('Ann 13'!D21:D24)*100000)+('Ann 1'!$C$25*100000)</f>
        <v>7346153.846153846</v>
      </c>
      <c r="G47" s="60">
        <f>(SUM('Ann 13'!D25:D28)*100000)+('Ann 1'!$C$25*100000)</f>
        <v>7346153.846153846</v>
      </c>
      <c r="H47" s="60">
        <f>(SUM('Ann 13'!D29:D32)*100000)+('Ann 1'!$C$25*100000)</f>
        <v>7346153.846153846</v>
      </c>
      <c r="I47" s="60">
        <f>(SUM('Ann 13'!D33:D36)*100000)+('Ann 1'!$C$25*100000)</f>
        <v>7346153.8461538488</v>
      </c>
      <c r="J47" s="60">
        <f>(SUM('Ann 13'!D37:D37)*100000)+('Ann 1'!$C$25*100000)</f>
        <v>5000000</v>
      </c>
      <c r="K47" s="60">
        <f>(SUM('Ann 13'!D38:D39)*100000)+('Ann 1'!$C$25*100000)</f>
        <v>5000000</v>
      </c>
    </row>
    <row r="48" spans="1:11" x14ac:dyDescent="0.6">
      <c r="A48" s="29"/>
      <c r="B48" s="30" t="s">
        <v>7</v>
      </c>
      <c r="C48" s="60">
        <f>SUM(C46:C47)</f>
        <v>7579278.846153846</v>
      </c>
      <c r="D48" s="60">
        <f t="shared" ref="D48:K48" si="15">SUM(D46:D47)</f>
        <v>8637980.7692307681</v>
      </c>
      <c r="E48" s="63">
        <f t="shared" si="15"/>
        <v>8497211.538461538</v>
      </c>
      <c r="F48" s="63">
        <f t="shared" si="15"/>
        <v>8356442.307692308</v>
      </c>
      <c r="G48" s="63">
        <f t="shared" si="15"/>
        <v>8215673.076923077</v>
      </c>
      <c r="H48" s="63">
        <f t="shared" si="15"/>
        <v>8074903.846153846</v>
      </c>
      <c r="I48" s="63">
        <f t="shared" si="15"/>
        <v>7934134.6153846178</v>
      </c>
      <c r="J48" s="63">
        <f t="shared" si="15"/>
        <v>5500000</v>
      </c>
      <c r="K48" s="63">
        <f t="shared" si="15"/>
        <v>5500000</v>
      </c>
    </row>
    <row r="49" spans="1:11" x14ac:dyDescent="0.6">
      <c r="A49" s="29"/>
      <c r="B49" s="30" t="s">
        <v>145</v>
      </c>
      <c r="C49" s="60">
        <f>'Ann 4'!C24</f>
        <v>9562972</v>
      </c>
      <c r="D49" s="60">
        <f>'Ann 4'!D24</f>
        <v>14410376.450000003</v>
      </c>
      <c r="E49" s="63">
        <f>'Ann 4'!E24</f>
        <v>15763905.100000009</v>
      </c>
      <c r="F49" s="63">
        <f>'Ann 4'!F24</f>
        <v>17100037.350000009</v>
      </c>
      <c r="G49" s="63">
        <f>'Ann 4'!G24</f>
        <v>18417903.38000001</v>
      </c>
      <c r="H49" s="63">
        <f>'Ann 4'!H24</f>
        <v>17742413.878999978</v>
      </c>
      <c r="I49" s="63">
        <f>'Ann 4'!I24</f>
        <v>18904833.87045002</v>
      </c>
      <c r="J49" s="63">
        <f>'Ann 4'!J24</f>
        <v>20046108.428972512</v>
      </c>
      <c r="K49" s="63">
        <f>'Ann 4'!K24</f>
        <v>21165180.282921135</v>
      </c>
    </row>
    <row r="50" spans="1:11" x14ac:dyDescent="0.6">
      <c r="A50" s="65"/>
      <c r="B50" s="66" t="s">
        <v>146</v>
      </c>
      <c r="C50" s="67">
        <f>C49/C48</f>
        <v>1.2617258441220687</v>
      </c>
      <c r="D50" s="67">
        <f t="shared" ref="D50:H50" si="16">D49/D48</f>
        <v>1.6682575285801753</v>
      </c>
      <c r="E50" s="68">
        <f t="shared" si="16"/>
        <v>1.8551856722227891</v>
      </c>
      <c r="F50" s="68">
        <f t="shared" si="16"/>
        <v>2.0463298519106643</v>
      </c>
      <c r="G50" s="68">
        <f t="shared" si="16"/>
        <v>2.2418009099867762</v>
      </c>
      <c r="H50" s="68">
        <f t="shared" si="16"/>
        <v>2.1972291208706913</v>
      </c>
      <c r="I50" s="69">
        <v>0</v>
      </c>
      <c r="J50" s="69">
        <v>0</v>
      </c>
      <c r="K50" s="69">
        <v>0</v>
      </c>
    </row>
    <row r="51" spans="1:11" x14ac:dyDescent="0.6">
      <c r="A51" s="30"/>
      <c r="B51" s="59" t="s">
        <v>150</v>
      </c>
      <c r="C51" s="30"/>
      <c r="D51" s="30"/>
      <c r="E51" s="30"/>
      <c r="F51" s="30">
        <f>AVERAGE(C50:G50)</f>
        <v>1.8146599613644945</v>
      </c>
      <c r="G51" s="30"/>
      <c r="H51" s="30"/>
      <c r="I51" s="30"/>
      <c r="J51" s="30"/>
      <c r="K51" s="30"/>
    </row>
    <row r="52" spans="1:11" x14ac:dyDescent="0.6">
      <c r="I52" s="52"/>
      <c r="J52" s="52"/>
      <c r="K52" s="52"/>
    </row>
    <row r="54" spans="1:11" x14ac:dyDescent="0.6">
      <c r="A54" s="6" t="s">
        <v>267</v>
      </c>
    </row>
    <row r="55" spans="1:11" x14ac:dyDescent="0.6">
      <c r="A55" s="6" t="s">
        <v>278</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221</v>
      </c>
    </row>
    <row r="3" spans="1:3" x14ac:dyDescent="0.35">
      <c r="A3" s="1" t="s">
        <v>224</v>
      </c>
    </row>
    <row r="5" spans="1:3" x14ac:dyDescent="0.35">
      <c r="A5" s="2" t="s">
        <v>222</v>
      </c>
    </row>
    <row r="6" spans="1:3" x14ac:dyDescent="0.35">
      <c r="A6" s="3" t="s">
        <v>230</v>
      </c>
    </row>
    <row r="7" spans="1:3" x14ac:dyDescent="0.35">
      <c r="A7" t="s">
        <v>223</v>
      </c>
      <c r="B7">
        <v>5</v>
      </c>
      <c r="C7" t="s">
        <v>227</v>
      </c>
    </row>
    <row r="8" spans="1:3" x14ac:dyDescent="0.35">
      <c r="A8" t="s">
        <v>225</v>
      </c>
      <c r="B8">
        <v>30</v>
      </c>
      <c r="C8" t="s">
        <v>228</v>
      </c>
    </row>
    <row r="9" spans="1:3" x14ac:dyDescent="0.35">
      <c r="A9" t="s">
        <v>226</v>
      </c>
      <c r="B9">
        <f>B8*3000*20/B7</f>
        <v>360000</v>
      </c>
      <c r="C9" t="s">
        <v>229</v>
      </c>
    </row>
    <row r="11" spans="1:3" x14ac:dyDescent="0.35">
      <c r="A11" s="3" t="s">
        <v>231</v>
      </c>
    </row>
    <row r="12" spans="1:3" x14ac:dyDescent="0.35">
      <c r="A12" s="3" t="s">
        <v>223</v>
      </c>
      <c r="B12">
        <v>0.5</v>
      </c>
      <c r="C12" t="s">
        <v>232</v>
      </c>
    </row>
    <row r="13" spans="1:3" x14ac:dyDescent="0.35">
      <c r="A13" s="3" t="s">
        <v>233</v>
      </c>
      <c r="B13">
        <f>B12*3000*30</f>
        <v>45000</v>
      </c>
      <c r="C13" t="s">
        <v>234</v>
      </c>
    </row>
    <row r="15" spans="1:3" x14ac:dyDescent="0.35">
      <c r="A15" t="s">
        <v>235</v>
      </c>
      <c r="B15">
        <f>B13+B9</f>
        <v>405000</v>
      </c>
    </row>
    <row r="16" spans="1:3" x14ac:dyDescent="0.35">
      <c r="A16" t="s">
        <v>236</v>
      </c>
      <c r="B16">
        <v>75</v>
      </c>
    </row>
    <row r="17" spans="1:2" x14ac:dyDescent="0.35">
      <c r="A17" t="s">
        <v>237</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workbookViewId="0">
      <selection activeCell="E17" sqref="E17"/>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154</v>
      </c>
    </row>
    <row r="3" spans="1:5" x14ac:dyDescent="0.6">
      <c r="A3" s="70" t="s">
        <v>155</v>
      </c>
    </row>
    <row r="5" spans="1:5" x14ac:dyDescent="0.6">
      <c r="A5" s="27" t="s">
        <v>51</v>
      </c>
      <c r="B5" s="27" t="s">
        <v>52</v>
      </c>
      <c r="C5" s="27" t="s">
        <v>53</v>
      </c>
      <c r="D5" s="27" t="s">
        <v>54</v>
      </c>
      <c r="E5" s="27" t="s">
        <v>218</v>
      </c>
    </row>
    <row r="6" spans="1:5" x14ac:dyDescent="0.6">
      <c r="A6" s="71" t="s">
        <v>55</v>
      </c>
      <c r="B6" s="7" t="s">
        <v>250</v>
      </c>
      <c r="C6" s="7">
        <v>1</v>
      </c>
      <c r="D6" s="72">
        <v>31000</v>
      </c>
      <c r="E6" s="72">
        <f>D6*C6*12</f>
        <v>372000</v>
      </c>
    </row>
    <row r="7" spans="1:5" x14ac:dyDescent="0.6">
      <c r="A7" s="7" t="s">
        <v>56</v>
      </c>
      <c r="B7" s="7" t="s">
        <v>316</v>
      </c>
      <c r="C7" s="7">
        <v>1</v>
      </c>
      <c r="D7" s="72">
        <v>30000</v>
      </c>
      <c r="E7" s="72">
        <f>D7*C7*12</f>
        <v>360000</v>
      </c>
    </row>
    <row r="8" spans="1:5" x14ac:dyDescent="0.6">
      <c r="A8" s="7" t="s">
        <v>59</v>
      </c>
      <c r="B8" s="7" t="s">
        <v>314</v>
      </c>
      <c r="C8" s="7">
        <v>7</v>
      </c>
      <c r="D8" s="72">
        <v>16000</v>
      </c>
      <c r="E8" s="72">
        <f>D8*C8*12</f>
        <v>1344000</v>
      </c>
    </row>
    <row r="9" spans="1:5" x14ac:dyDescent="0.6">
      <c r="A9" s="7" t="s">
        <v>304</v>
      </c>
      <c r="B9" s="7" t="s">
        <v>251</v>
      </c>
      <c r="C9" s="7">
        <v>12</v>
      </c>
      <c r="D9" s="72">
        <v>12500</v>
      </c>
      <c r="E9" s="72">
        <f>D9*C9*12</f>
        <v>1800000</v>
      </c>
    </row>
    <row r="10" spans="1:5" x14ac:dyDescent="0.6">
      <c r="A10" s="7" t="s">
        <v>315</v>
      </c>
      <c r="B10" s="7" t="s">
        <v>305</v>
      </c>
      <c r="C10" s="7">
        <v>4</v>
      </c>
      <c r="D10" s="72">
        <v>10000</v>
      </c>
      <c r="E10" s="72">
        <f>D10*C10*12</f>
        <v>480000</v>
      </c>
    </row>
    <row r="11" spans="1:5" x14ac:dyDescent="0.6">
      <c r="A11" s="133" t="s">
        <v>7</v>
      </c>
      <c r="B11" s="133"/>
      <c r="C11" s="133"/>
      <c r="D11" s="133"/>
      <c r="E11" s="73">
        <f>SUM(E6:E10)</f>
        <v>4356000</v>
      </c>
    </row>
    <row r="12" spans="1:5" x14ac:dyDescent="0.6">
      <c r="A12" s="37"/>
      <c r="B12" s="74"/>
      <c r="C12" s="74"/>
      <c r="D12" s="74"/>
      <c r="E12" s="56"/>
    </row>
    <row r="13" spans="1:5" x14ac:dyDescent="0.6">
      <c r="A13" s="65" t="s">
        <v>306</v>
      </c>
      <c r="B13" s="66"/>
      <c r="C13" s="66"/>
      <c r="D13" s="66"/>
      <c r="E13" s="75">
        <f>E11*20%</f>
        <v>871200</v>
      </c>
    </row>
    <row r="14" spans="1:5" x14ac:dyDescent="0.6">
      <c r="A14" s="33" t="s">
        <v>7</v>
      </c>
      <c r="B14" s="34"/>
      <c r="C14" s="34"/>
      <c r="D14" s="34"/>
      <c r="E14" s="76">
        <f>SUM(E11:E13)</f>
        <v>5227200</v>
      </c>
    </row>
    <row r="16" spans="1:5" x14ac:dyDescent="0.6">
      <c r="A16" s="6" t="s">
        <v>57</v>
      </c>
      <c r="E16" s="52">
        <f>E14</f>
        <v>5227200</v>
      </c>
    </row>
    <row r="17" spans="1:5" x14ac:dyDescent="0.6">
      <c r="A17" s="6" t="s">
        <v>58</v>
      </c>
      <c r="E17" s="77">
        <v>0.05</v>
      </c>
    </row>
    <row r="18" spans="1:5" x14ac:dyDescent="0.6">
      <c r="A18" s="6" t="s">
        <v>157</v>
      </c>
      <c r="E18" s="6">
        <f>SUM(C6:C10)</f>
        <v>25</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C12" sqref="C12"/>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61</v>
      </c>
    </row>
    <row r="3" spans="1:6" x14ac:dyDescent="0.6">
      <c r="A3" s="70" t="s">
        <v>60</v>
      </c>
    </row>
    <row r="5" spans="1:6" x14ac:dyDescent="0.6">
      <c r="A5" s="27" t="s">
        <v>23</v>
      </c>
      <c r="B5" s="27" t="s">
        <v>3</v>
      </c>
      <c r="C5" s="27" t="s">
        <v>64</v>
      </c>
      <c r="D5" s="27" t="s">
        <v>10</v>
      </c>
      <c r="E5" s="27" t="s">
        <v>65</v>
      </c>
      <c r="F5" s="27" t="s">
        <v>66</v>
      </c>
    </row>
    <row r="6" spans="1:6" x14ac:dyDescent="0.6">
      <c r="A6" s="7" t="s">
        <v>55</v>
      </c>
      <c r="B6" s="7" t="s">
        <v>12</v>
      </c>
      <c r="C6" s="72">
        <f>'Ann 1'!C15*100000</f>
        <v>3200000</v>
      </c>
      <c r="D6" s="72">
        <f>('Ann 1'!C20+'Ann 1'!C37)*100000</f>
        <v>14000000</v>
      </c>
      <c r="E6" s="72">
        <f>'Ann 3'!E19</f>
        <v>200000</v>
      </c>
      <c r="F6" s="78">
        <f>SUM(C6:E6)/100000</f>
        <v>174</v>
      </c>
    </row>
    <row r="7" spans="1:6" x14ac:dyDescent="0.6">
      <c r="A7" s="7" t="s">
        <v>56</v>
      </c>
      <c r="B7" s="7" t="s">
        <v>62</v>
      </c>
      <c r="C7" s="72">
        <v>0</v>
      </c>
      <c r="D7" s="72">
        <v>0</v>
      </c>
      <c r="E7" s="72">
        <v>0</v>
      </c>
      <c r="F7" s="79">
        <f>SUM(C7:E7)/100000</f>
        <v>0</v>
      </c>
    </row>
    <row r="8" spans="1:6" x14ac:dyDescent="0.6">
      <c r="A8" s="7" t="s">
        <v>59</v>
      </c>
      <c r="B8" s="7" t="s">
        <v>63</v>
      </c>
      <c r="C8" s="72">
        <v>0</v>
      </c>
      <c r="D8" s="72">
        <v>0</v>
      </c>
      <c r="E8" s="72">
        <f>'Ann 1'!C39*100000</f>
        <v>0</v>
      </c>
      <c r="F8" s="79">
        <f>SUM(C8:E8)/100000</f>
        <v>0</v>
      </c>
    </row>
    <row r="9" spans="1:6" x14ac:dyDescent="0.6">
      <c r="A9" s="7"/>
      <c r="B9" s="133" t="s">
        <v>7</v>
      </c>
      <c r="C9" s="133"/>
      <c r="D9" s="133"/>
      <c r="E9" s="133"/>
      <c r="F9" s="78">
        <f>SUM(F6:F8)</f>
        <v>174</v>
      </c>
    </row>
    <row r="11" spans="1:6" s="5" customFormat="1" x14ac:dyDescent="0.6">
      <c r="A11" s="116"/>
      <c r="B11" s="116" t="s">
        <v>67</v>
      </c>
      <c r="C11" s="117">
        <v>0.1</v>
      </c>
      <c r="D11" s="117">
        <v>0.15</v>
      </c>
      <c r="E11" s="117">
        <v>0.1</v>
      </c>
      <c r="F11" s="116" t="s">
        <v>172</v>
      </c>
    </row>
    <row r="12" spans="1:6" x14ac:dyDescent="0.6">
      <c r="A12" s="80" t="s">
        <v>68</v>
      </c>
      <c r="B12" s="81">
        <v>1</v>
      </c>
      <c r="C12" s="82">
        <f>C11*C6</f>
        <v>320000</v>
      </c>
      <c r="D12" s="82">
        <f>D11*D6</f>
        <v>2100000</v>
      </c>
      <c r="E12" s="82">
        <f>E11*(E6+E8)</f>
        <v>20000</v>
      </c>
      <c r="F12" s="82">
        <f>SUM(C12:E12)</f>
        <v>2440000</v>
      </c>
    </row>
    <row r="13" spans="1:6" x14ac:dyDescent="0.6">
      <c r="A13" s="80" t="s">
        <v>68</v>
      </c>
      <c r="B13" s="81">
        <v>2</v>
      </c>
      <c r="C13" s="82">
        <f>(C6-C12)*C11</f>
        <v>288000</v>
      </c>
      <c r="D13" s="82">
        <f>(D6-D12)*D11</f>
        <v>1785000</v>
      </c>
      <c r="E13" s="82">
        <f>(E6+E8-E12)*E11</f>
        <v>18000</v>
      </c>
      <c r="F13" s="82">
        <f>SUM(C13:E13)</f>
        <v>2091000</v>
      </c>
    </row>
    <row r="14" spans="1:6" x14ac:dyDescent="0.6">
      <c r="A14" s="80" t="s">
        <v>68</v>
      </c>
      <c r="B14" s="81">
        <v>3</v>
      </c>
      <c r="C14" s="82">
        <f>(C6-C12-C13)*C11</f>
        <v>259200</v>
      </c>
      <c r="D14" s="82">
        <f>(D6-D12-D13)*D11</f>
        <v>1517250</v>
      </c>
      <c r="E14" s="82">
        <f>(E6+E8-E12-E13)*E11</f>
        <v>16200</v>
      </c>
      <c r="F14" s="82">
        <f t="shared" ref="F14:F20" si="0">SUM(C14:E14)</f>
        <v>1792650</v>
      </c>
    </row>
    <row r="15" spans="1:6" x14ac:dyDescent="0.6">
      <c r="A15" s="80" t="s">
        <v>68</v>
      </c>
      <c r="B15" s="81">
        <v>4</v>
      </c>
      <c r="C15" s="82">
        <f>(C6-C12-C13-C14)*C11</f>
        <v>233280</v>
      </c>
      <c r="D15" s="82">
        <f>(D6-D12-D13-D14)*D11</f>
        <v>1289662.5</v>
      </c>
      <c r="E15" s="82">
        <f>(E6+E8-E12-E13-E14)*E11</f>
        <v>14580</v>
      </c>
      <c r="F15" s="82">
        <f t="shared" si="0"/>
        <v>1537522.5</v>
      </c>
    </row>
    <row r="16" spans="1:6" x14ac:dyDescent="0.6">
      <c r="A16" s="80" t="s">
        <v>68</v>
      </c>
      <c r="B16" s="81">
        <v>5</v>
      </c>
      <c r="C16" s="82">
        <f>(C6-C12-C13-C14-C15)*C11</f>
        <v>209952</v>
      </c>
      <c r="D16" s="82">
        <f>(D6-D12-D13-D14-D15)*D11</f>
        <v>1096213.125</v>
      </c>
      <c r="E16" s="82">
        <f>(E6+E8-E12-E13-E14-E15)*E11</f>
        <v>13122</v>
      </c>
      <c r="F16" s="82">
        <f t="shared" si="0"/>
        <v>1319287.125</v>
      </c>
    </row>
    <row r="17" spans="1:6" x14ac:dyDescent="0.6">
      <c r="A17" s="80" t="s">
        <v>68</v>
      </c>
      <c r="B17" s="81">
        <v>6</v>
      </c>
      <c r="C17" s="82">
        <f>(C6-C12-C13-C14-C15-C16)*C11</f>
        <v>188956.80000000002</v>
      </c>
      <c r="D17" s="82">
        <f>(D6-D12-D13-D14-D15-D16)*D11</f>
        <v>931781.15625</v>
      </c>
      <c r="E17" s="82">
        <f>(E6+E8-E12-E13-E14-E15-E16)*E11</f>
        <v>11809.800000000001</v>
      </c>
      <c r="F17" s="82">
        <f t="shared" si="0"/>
        <v>1132547.7562500001</v>
      </c>
    </row>
    <row r="18" spans="1:6" x14ac:dyDescent="0.6">
      <c r="A18" s="80" t="s">
        <v>68</v>
      </c>
      <c r="B18" s="81">
        <v>7</v>
      </c>
      <c r="C18" s="82">
        <f>(C6-C12-C13-C14-C15-C16-C17)*C11</f>
        <v>170061.12</v>
      </c>
      <c r="D18" s="82">
        <f>(D6-D12-D13-D14-D15-D16-D17)*D11</f>
        <v>792013.98281249998</v>
      </c>
      <c r="E18" s="82">
        <f>(E6+E8-E12-E13-E14-E15-E16-E17)*E11</f>
        <v>10628.82</v>
      </c>
      <c r="F18" s="82">
        <f t="shared" si="0"/>
        <v>972703.92281249992</v>
      </c>
    </row>
    <row r="19" spans="1:6" x14ac:dyDescent="0.6">
      <c r="A19" s="80" t="s">
        <v>68</v>
      </c>
      <c r="B19" s="81">
        <v>8</v>
      </c>
      <c r="C19" s="82">
        <f>(C6-C12-C13-C14-C15-C16-C17-C18)*C11</f>
        <v>153055.008</v>
      </c>
      <c r="D19" s="82">
        <f>(D6-D12-D13-D14-D15-D16-D17-D18)*D11</f>
        <v>673211.88539062499</v>
      </c>
      <c r="E19" s="82">
        <f>(E6+E8-E12-E13-E14-E15-E16-E17-E18)*E11</f>
        <v>9565.9380000000001</v>
      </c>
      <c r="F19" s="82">
        <f t="shared" si="0"/>
        <v>835832.83139062498</v>
      </c>
    </row>
    <row r="20" spans="1:6" x14ac:dyDescent="0.6">
      <c r="A20" s="80" t="s">
        <v>68</v>
      </c>
      <c r="B20" s="81">
        <v>9</v>
      </c>
      <c r="C20" s="82">
        <f>(C6-C12-C13-C14-C15-C16-C17-C18-C19)*C11</f>
        <v>137749.50720000002</v>
      </c>
      <c r="D20" s="82">
        <f>(D6-D12-D13-D14-D15-D16-D17-D18-D19)*D11</f>
        <v>572230.10258203128</v>
      </c>
      <c r="E20" s="82">
        <f>(E6+E8-E12-E13-E14-E15-E16-E17-E18-E19)*E11</f>
        <v>8609.3442000000014</v>
      </c>
      <c r="F20" s="82">
        <f t="shared" si="0"/>
        <v>718588.95398203132</v>
      </c>
    </row>
    <row r="21" spans="1:6" x14ac:dyDescent="0.6">
      <c r="B21" s="23"/>
    </row>
    <row r="22" spans="1:6" x14ac:dyDescent="0.6">
      <c r="A22" s="83"/>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2021-08-11T11:31:09Z</cp:lastPrinted>
  <dcterms:created xsi:type="dcterms:W3CDTF">2021-07-04T07:21:16Z</dcterms:created>
  <dcterms:modified xsi:type="dcterms:W3CDTF">2021-08-11T11:31:10Z</dcterms:modified>
</cp:coreProperties>
</file>