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10. Cold storage room\"/>
    </mc:Choice>
  </mc:AlternateContent>
  <xr:revisionPtr revIDLastSave="0" documentId="13_ncr:1_{8C993570-8593-43FE-AA8C-B1994A5745CF}"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1" l="1"/>
  <c r="E12" i="11"/>
  <c r="C19" i="11"/>
  <c r="E8" i="4"/>
  <c r="F8" i="4" s="1"/>
  <c r="G8" i="4" s="1"/>
  <c r="H8" i="4" s="1"/>
  <c r="I8" i="4" s="1"/>
  <c r="J8" i="4" s="1"/>
  <c r="K8" i="4" s="1"/>
  <c r="D8" i="4"/>
  <c r="C8" i="4"/>
  <c r="B10" i="19"/>
  <c r="B6" i="19" s="1"/>
  <c r="D5" i="22"/>
  <c r="E4" i="22"/>
  <c r="E5" i="22" s="1"/>
  <c r="E12" i="9"/>
  <c r="C37" i="4"/>
  <c r="C7" i="4" s="1"/>
  <c r="C26" i="4"/>
  <c r="B12" i="18"/>
  <c r="D22" i="4"/>
  <c r="E22" i="4"/>
  <c r="F22" i="4"/>
  <c r="G22" i="4"/>
  <c r="H22" i="4"/>
  <c r="I22" i="4"/>
  <c r="J22" i="4"/>
  <c r="K22" i="4"/>
  <c r="C22" i="4"/>
  <c r="B26" i="18"/>
  <c r="C7" i="2"/>
  <c r="B4" i="18" s="1"/>
  <c r="C39" i="1"/>
  <c r="G14" i="3"/>
  <c r="G6" i="3"/>
  <c r="C11" i="1" s="1"/>
  <c r="B13" i="23"/>
  <c r="B15" i="23" s="1"/>
  <c r="B17" i="23" s="1"/>
  <c r="B9" i="23"/>
  <c r="F4" i="22" l="1"/>
  <c r="B14" i="19"/>
  <c r="J5" i="19" s="1"/>
  <c r="A6" i="21"/>
  <c r="F5" i="22" l="1"/>
  <c r="G4" i="22"/>
  <c r="F5" i="19"/>
  <c r="I5" i="19"/>
  <c r="G5" i="19"/>
  <c r="D5" i="19"/>
  <c r="B5" i="19"/>
  <c r="E5" i="19"/>
  <c r="H5" i="19"/>
  <c r="C5" i="19"/>
  <c r="A13" i="21"/>
  <c r="A11" i="21"/>
  <c r="A10" i="21"/>
  <c r="A9" i="21"/>
  <c r="K46" i="7"/>
  <c r="J46" i="7"/>
  <c r="D22" i="7"/>
  <c r="E22" i="7"/>
  <c r="F22" i="7"/>
  <c r="G22" i="7"/>
  <c r="H22" i="7"/>
  <c r="I22" i="7"/>
  <c r="I33" i="7" s="1"/>
  <c r="J22" i="7"/>
  <c r="J33" i="7" s="1"/>
  <c r="K22" i="7"/>
  <c r="K33" i="7" s="1"/>
  <c r="C22" i="7"/>
  <c r="E8" i="9"/>
  <c r="A15" i="21"/>
  <c r="H4" i="22" l="1"/>
  <c r="G5" i="22"/>
  <c r="A16" i="21"/>
  <c r="A14" i="21"/>
  <c r="A12" i="21"/>
  <c r="A8" i="21"/>
  <c r="A7" i="21"/>
  <c r="A5" i="21"/>
  <c r="A4" i="21"/>
  <c r="C23" i="18"/>
  <c r="K23" i="18"/>
  <c r="J23" i="18"/>
  <c r="I23" i="18"/>
  <c r="H23" i="18"/>
  <c r="G23" i="18"/>
  <c r="F23" i="18"/>
  <c r="E23" i="18"/>
  <c r="D23" i="18"/>
  <c r="I4" i="22" l="1"/>
  <c r="H5" i="22"/>
  <c r="I40" i="7"/>
  <c r="J40" i="7"/>
  <c r="K40" i="7"/>
  <c r="I5" i="22" l="1"/>
  <c r="J4" i="22"/>
  <c r="C19" i="1"/>
  <c r="G16" i="3"/>
  <c r="D36" i="4"/>
  <c r="D37" i="4" s="1"/>
  <c r="D7" i="4" s="1"/>
  <c r="J5" i="22" l="1"/>
  <c r="K4" i="22"/>
  <c r="E36" i="4"/>
  <c r="E37" i="4" s="1"/>
  <c r="E7" i="4" s="1"/>
  <c r="K5" i="22" l="1"/>
  <c r="L4" i="22"/>
  <c r="L5" i="22" s="1"/>
  <c r="C6" i="19"/>
  <c r="D6" i="19" s="1"/>
  <c r="E6" i="19" s="1"/>
  <c r="F6" i="19" s="1"/>
  <c r="G6" i="19" s="1"/>
  <c r="H6" i="19" s="1"/>
  <c r="I6" i="19" s="1"/>
  <c r="J6" i="19" s="1"/>
  <c r="F36" i="4"/>
  <c r="F37" i="4" s="1"/>
  <c r="F7" i="4" s="1"/>
  <c r="K17" i="4" l="1"/>
  <c r="C17" i="4"/>
  <c r="C12" i="7" s="1"/>
  <c r="G36" i="4"/>
  <c r="G37" i="4" s="1"/>
  <c r="G7" i="4" s="1"/>
  <c r="K9" i="4" l="1"/>
  <c r="K12" i="7"/>
  <c r="C9" i="4"/>
  <c r="E5" i="11"/>
  <c r="D7" i="11" s="1"/>
  <c r="C8" i="18"/>
  <c r="E17" i="4"/>
  <c r="I17" i="4"/>
  <c r="J17" i="4"/>
  <c r="D17" i="4"/>
  <c r="F17" i="4"/>
  <c r="G17" i="4"/>
  <c r="H17" i="4"/>
  <c r="J3" i="20"/>
  <c r="B3" i="20"/>
  <c r="H36" i="4"/>
  <c r="H37" i="4" s="1"/>
  <c r="H7" i="4" s="1"/>
  <c r="H9" i="4" l="1"/>
  <c r="H12" i="7"/>
  <c r="G9" i="4"/>
  <c r="G12" i="7"/>
  <c r="J9" i="4"/>
  <c r="J12" i="7"/>
  <c r="I9" i="4"/>
  <c r="I12" i="7"/>
  <c r="E9" i="4"/>
  <c r="E12" i="7"/>
  <c r="E8" i="18" s="1"/>
  <c r="F9" i="4"/>
  <c r="F12" i="7"/>
  <c r="D9" i="4"/>
  <c r="D12" i="7"/>
  <c r="D8" i="18" s="1"/>
  <c r="G3" i="20"/>
  <c r="C3" i="20"/>
  <c r="D3" i="20"/>
  <c r="I3" i="20"/>
  <c r="H3" i="20"/>
  <c r="E3" i="20"/>
  <c r="F3" i="20"/>
  <c r="I36" i="4"/>
  <c r="I37" i="4" s="1"/>
  <c r="I7" i="4" s="1"/>
  <c r="J36" i="4" l="1"/>
  <c r="K36" i="4" l="1"/>
  <c r="K37" i="4" s="1"/>
  <c r="K7" i="4" s="1"/>
  <c r="J37" i="4"/>
  <c r="J7" i="4" s="1"/>
  <c r="D12" i="14"/>
  <c r="C12" i="1"/>
  <c r="C6" i="10" s="1"/>
  <c r="C35" i="1"/>
  <c r="J23" i="4"/>
  <c r="K23" i="4"/>
  <c r="K13" i="18" s="1"/>
  <c r="D9" i="11" l="1"/>
  <c r="C46" i="7"/>
  <c r="D13" i="14"/>
  <c r="C19" i="18"/>
  <c r="J13" i="18"/>
  <c r="J45" i="7"/>
  <c r="K45" i="7"/>
  <c r="E6" i="9"/>
  <c r="E17" i="9"/>
  <c r="E9" i="11" l="1"/>
  <c r="E10" i="11" s="1"/>
  <c r="D14" i="14"/>
  <c r="D15" i="14" s="1"/>
  <c r="D16" i="14" s="1"/>
  <c r="D17" i="14" s="1"/>
  <c r="D18" i="14" s="1"/>
  <c r="D19" i="18" l="1"/>
  <c r="D46" i="7"/>
  <c r="D19" i="14"/>
  <c r="D20" i="14" s="1"/>
  <c r="D21" i="14" s="1"/>
  <c r="D22" i="14" s="1"/>
  <c r="D23" i="14" s="1"/>
  <c r="D24" i="14" s="1"/>
  <c r="D25" i="14" s="1"/>
  <c r="D10" i="4"/>
  <c r="D11" i="4" s="1"/>
  <c r="E12" i="10"/>
  <c r="J47" i="7"/>
  <c r="K47" i="7"/>
  <c r="C12" i="10"/>
  <c r="C20" i="1"/>
  <c r="D6" i="10" s="1"/>
  <c r="D12" i="10" s="1"/>
  <c r="D13" i="10" s="1"/>
  <c r="C16" i="1"/>
  <c r="F8" i="10"/>
  <c r="F7" i="10"/>
  <c r="E9" i="9"/>
  <c r="E7" i="9"/>
  <c r="C9" i="1"/>
  <c r="E19" i="18" l="1"/>
  <c r="E46" i="7"/>
  <c r="F19" i="18"/>
  <c r="F46" i="7"/>
  <c r="C8" i="2"/>
  <c r="C9" i="7"/>
  <c r="F6" i="10"/>
  <c r="F12" i="10"/>
  <c r="E13" i="11" s="1"/>
  <c r="C27" i="4"/>
  <c r="D10" i="18"/>
  <c r="C7" i="15"/>
  <c r="D26" i="14"/>
  <c r="E10" i="9"/>
  <c r="E10" i="18"/>
  <c r="C10" i="7"/>
  <c r="B10" i="13"/>
  <c r="C13" i="10"/>
  <c r="C3" i="15"/>
  <c r="E13" i="10"/>
  <c r="K6" i="12"/>
  <c r="E5" i="12"/>
  <c r="H6" i="12"/>
  <c r="E6" i="12"/>
  <c r="D6" i="12"/>
  <c r="F6" i="12"/>
  <c r="F5" i="12"/>
  <c r="G5" i="12"/>
  <c r="I6" i="12"/>
  <c r="D14" i="10"/>
  <c r="C4" i="2" l="1"/>
  <c r="C6" i="2" s="1"/>
  <c r="F9" i="10"/>
  <c r="B7" i="18"/>
  <c r="B27" i="18" s="1"/>
  <c r="F13" i="10"/>
  <c r="C11" i="7"/>
  <c r="D9" i="7" s="1"/>
  <c r="E10" i="4"/>
  <c r="E11" i="4" s="1"/>
  <c r="D27" i="14"/>
  <c r="E13" i="9"/>
  <c r="F3" i="15"/>
  <c r="F10" i="18"/>
  <c r="C14" i="10"/>
  <c r="F14" i="10" s="1"/>
  <c r="C10" i="13"/>
  <c r="D27" i="4"/>
  <c r="D10" i="7"/>
  <c r="E3" i="15"/>
  <c r="D3" i="15"/>
  <c r="E14" i="10"/>
  <c r="H5" i="12"/>
  <c r="J5" i="12"/>
  <c r="C6" i="12"/>
  <c r="J6" i="12"/>
  <c r="D5" i="12"/>
  <c r="I5" i="12"/>
  <c r="C5" i="12"/>
  <c r="G6" i="12"/>
  <c r="K5" i="12"/>
  <c r="D15" i="10"/>
  <c r="D16" i="10" s="1"/>
  <c r="D17" i="10" s="1"/>
  <c r="B6" i="18" l="1"/>
  <c r="D4" i="14"/>
  <c r="D28" i="14"/>
  <c r="D29" i="14" s="1"/>
  <c r="D30" i="14" s="1"/>
  <c r="D31" i="14" s="1"/>
  <c r="D32" i="14" s="1"/>
  <c r="D33" i="14" s="1"/>
  <c r="D34" i="14" s="1"/>
  <c r="D35" i="14" s="1"/>
  <c r="E15" i="9"/>
  <c r="C13" i="4"/>
  <c r="C17" i="7"/>
  <c r="B5" i="18" s="1"/>
  <c r="B20" i="18" s="1"/>
  <c r="C4" i="18" s="1"/>
  <c r="C24" i="18" s="1"/>
  <c r="C39" i="7"/>
  <c r="F10" i="4"/>
  <c r="F11" i="4" s="1"/>
  <c r="G46" i="7"/>
  <c r="G10" i="18"/>
  <c r="D11" i="7"/>
  <c r="D39" i="7" s="1"/>
  <c r="E27" i="4"/>
  <c r="E10" i="7"/>
  <c r="D10" i="13"/>
  <c r="C15" i="10"/>
  <c r="E15" i="10"/>
  <c r="D18" i="10"/>
  <c r="C9" i="14" l="1"/>
  <c r="E9" i="14" s="1"/>
  <c r="C10" i="14"/>
  <c r="E10" i="14" s="1"/>
  <c r="C11" i="14"/>
  <c r="D36" i="14"/>
  <c r="D13" i="4"/>
  <c r="C23" i="7"/>
  <c r="C25" i="18"/>
  <c r="B24" i="18"/>
  <c r="C14" i="4"/>
  <c r="F15" i="10"/>
  <c r="G10" i="4"/>
  <c r="G11" i="4" s="1"/>
  <c r="G19" i="18"/>
  <c r="F8" i="18"/>
  <c r="H10" i="18"/>
  <c r="G3" i="15"/>
  <c r="E9" i="7"/>
  <c r="E11" i="7" s="1"/>
  <c r="E39" i="7" s="1"/>
  <c r="F10" i="7"/>
  <c r="E10" i="13"/>
  <c r="F27" i="4"/>
  <c r="C16" i="10"/>
  <c r="C17" i="10" s="1"/>
  <c r="E16" i="10"/>
  <c r="D19" i="10"/>
  <c r="D20" i="10" s="1"/>
  <c r="E11" i="14" l="1"/>
  <c r="C12" i="14"/>
  <c r="E13" i="4"/>
  <c r="D23" i="7"/>
  <c r="D9" i="18"/>
  <c r="C28" i="7"/>
  <c r="B29" i="18"/>
  <c r="B25" i="18"/>
  <c r="B30" i="18" s="1"/>
  <c r="D14" i="4"/>
  <c r="F16" i="10"/>
  <c r="E14" i="4"/>
  <c r="H10" i="4"/>
  <c r="H11" i="4" s="1"/>
  <c r="G8" i="18"/>
  <c r="I10" i="18"/>
  <c r="H3" i="15"/>
  <c r="F9" i="7"/>
  <c r="F11" i="7" s="1"/>
  <c r="F39" i="7" s="1"/>
  <c r="G10" i="7"/>
  <c r="F10" i="13"/>
  <c r="G27" i="4"/>
  <c r="C18" i="10"/>
  <c r="E17" i="10"/>
  <c r="H27" i="4" s="1"/>
  <c r="E12" i="14" l="1"/>
  <c r="E15" i="11" s="1"/>
  <c r="E16" i="11" s="1"/>
  <c r="C13" i="14"/>
  <c r="C21" i="4"/>
  <c r="C23" i="4" s="1"/>
  <c r="D11" i="18"/>
  <c r="E9" i="18"/>
  <c r="D28" i="7"/>
  <c r="F13" i="4"/>
  <c r="E23" i="7"/>
  <c r="E11" i="18" s="1"/>
  <c r="H46" i="7"/>
  <c r="H19" i="18"/>
  <c r="D16" i="4"/>
  <c r="D18" i="4" s="1"/>
  <c r="D48" i="7" s="1"/>
  <c r="F17" i="10"/>
  <c r="E16" i="4"/>
  <c r="I10" i="4"/>
  <c r="I11" i="4" s="1"/>
  <c r="H8" i="18"/>
  <c r="J10" i="18"/>
  <c r="I3" i="15"/>
  <c r="G9" i="7"/>
  <c r="G11" i="7" s="1"/>
  <c r="H10" i="7"/>
  <c r="G10" i="13"/>
  <c r="C19" i="10"/>
  <c r="E18" i="10"/>
  <c r="E19" i="10" s="1"/>
  <c r="C45" i="7" l="1"/>
  <c r="C47" i="7" s="1"/>
  <c r="C13" i="18"/>
  <c r="E13" i="14"/>
  <c r="C21" i="7"/>
  <c r="C14" i="14"/>
  <c r="F9" i="18"/>
  <c r="E28" i="7"/>
  <c r="G13" i="4"/>
  <c r="G14" i="4" s="1"/>
  <c r="F23" i="7"/>
  <c r="F11" i="18" s="1"/>
  <c r="F14" i="4"/>
  <c r="I46" i="7"/>
  <c r="C4" i="20"/>
  <c r="C5" i="20" s="1"/>
  <c r="C6" i="20" s="1"/>
  <c r="F18" i="10"/>
  <c r="E18" i="4"/>
  <c r="E48" i="7" s="1"/>
  <c r="D4" i="20"/>
  <c r="C20" i="10"/>
  <c r="F19" i="10"/>
  <c r="F16" i="4"/>
  <c r="J10" i="4"/>
  <c r="J11" i="4" s="1"/>
  <c r="K10" i="4"/>
  <c r="K11" i="4" s="1"/>
  <c r="I8" i="18"/>
  <c r="K10" i="18"/>
  <c r="G39" i="7"/>
  <c r="H9" i="7"/>
  <c r="H11" i="7" s="1"/>
  <c r="I10" i="7"/>
  <c r="I27" i="4"/>
  <c r="H10" i="13"/>
  <c r="I10" i="13"/>
  <c r="J10" i="7"/>
  <c r="J27" i="4"/>
  <c r="E20" i="10"/>
  <c r="C40" i="7" l="1"/>
  <c r="C41" i="7" s="1"/>
  <c r="C33" i="7"/>
  <c r="E14" i="14"/>
  <c r="C15" i="14"/>
  <c r="G9" i="18"/>
  <c r="F28" i="7"/>
  <c r="H13" i="4"/>
  <c r="H14" i="4" s="1"/>
  <c r="G23" i="7"/>
  <c r="G11" i="18" s="1"/>
  <c r="F20" i="10"/>
  <c r="F18" i="4"/>
  <c r="F48" i="7" s="1"/>
  <c r="E4" i="20"/>
  <c r="E5" i="20" s="1"/>
  <c r="E6" i="20" s="1"/>
  <c r="D5" i="20"/>
  <c r="D6" i="20" s="1"/>
  <c r="K27" i="4"/>
  <c r="J10" i="13"/>
  <c r="G16" i="4"/>
  <c r="F4" i="20" s="1"/>
  <c r="F5" i="20" s="1"/>
  <c r="F6" i="20" s="1"/>
  <c r="J8" i="18"/>
  <c r="K8" i="18"/>
  <c r="H39" i="7"/>
  <c r="I9" i="7"/>
  <c r="I11" i="7" s="1"/>
  <c r="J9" i="7" s="1"/>
  <c r="J11" i="7" s="1"/>
  <c r="K10" i="7"/>
  <c r="E15" i="14" l="1"/>
  <c r="C16" i="14"/>
  <c r="H9" i="18"/>
  <c r="G28" i="7"/>
  <c r="I13" i="4"/>
  <c r="I14" i="4" s="1"/>
  <c r="H23" i="7"/>
  <c r="H11" i="18" s="1"/>
  <c r="H16" i="4"/>
  <c r="G4" i="20" s="1"/>
  <c r="G5" i="20" s="1"/>
  <c r="G6" i="20" s="1"/>
  <c r="I39" i="7"/>
  <c r="J39" i="7"/>
  <c r="K9" i="7"/>
  <c r="K11" i="7" s="1"/>
  <c r="K39" i="7" s="1"/>
  <c r="G18" i="4"/>
  <c r="G48" i="7" s="1"/>
  <c r="E16" i="14" l="1"/>
  <c r="D21" i="4" s="1"/>
  <c r="D23" i="4" s="1"/>
  <c r="C17" i="14"/>
  <c r="I9" i="18"/>
  <c r="H28" i="7"/>
  <c r="J13" i="4"/>
  <c r="J14" i="4" s="1"/>
  <c r="I23" i="7"/>
  <c r="I11" i="18" s="1"/>
  <c r="I16" i="4"/>
  <c r="H4" i="20" s="1"/>
  <c r="H5" i="20" s="1"/>
  <c r="H6" i="20" s="1"/>
  <c r="I19" i="18"/>
  <c r="E17" i="14" l="1"/>
  <c r="D21" i="7"/>
  <c r="C18" i="14"/>
  <c r="D13" i="18"/>
  <c r="D45" i="7"/>
  <c r="D47" i="7" s="1"/>
  <c r="D49" i="7" s="1"/>
  <c r="D25" i="4"/>
  <c r="J9" i="18"/>
  <c r="I28" i="7"/>
  <c r="K13" i="4"/>
  <c r="J23" i="7"/>
  <c r="J11" i="18" s="1"/>
  <c r="J16" i="4"/>
  <c r="I4" i="20" s="1"/>
  <c r="I5" i="20" s="1"/>
  <c r="I6" i="20" s="1"/>
  <c r="H18" i="4"/>
  <c r="H48" i="7" s="1"/>
  <c r="D28" i="4" l="1"/>
  <c r="C7" i="13"/>
  <c r="C9" i="13" s="1"/>
  <c r="C11" i="13" s="1"/>
  <c r="C13" i="13" s="1"/>
  <c r="C14" i="13" s="1"/>
  <c r="D29" i="4" s="1"/>
  <c r="D15" i="18" s="1"/>
  <c r="E18" i="14"/>
  <c r="C19" i="14"/>
  <c r="D33" i="7"/>
  <c r="D40" i="7"/>
  <c r="D41" i="7" s="1"/>
  <c r="K9" i="18"/>
  <c r="J28" i="7"/>
  <c r="K23" i="7"/>
  <c r="K28" i="7" s="1"/>
  <c r="K14" i="4"/>
  <c r="E19" i="14" l="1"/>
  <c r="C20" i="14"/>
  <c r="C7" i="20"/>
  <c r="D30" i="4"/>
  <c r="K11" i="18"/>
  <c r="K16" i="4"/>
  <c r="J4" i="20" s="1"/>
  <c r="J5" i="20" s="1"/>
  <c r="J6" i="20" s="1"/>
  <c r="I18" i="4"/>
  <c r="I48" i="7" s="1"/>
  <c r="D31" i="4" l="1"/>
  <c r="D17" i="18" s="1"/>
  <c r="D26" i="18" s="1"/>
  <c r="D27" i="18" s="1"/>
  <c r="C8" i="20"/>
  <c r="E20" i="14"/>
  <c r="E21" i="4" s="1"/>
  <c r="E23" i="4" s="1"/>
  <c r="C21" i="14"/>
  <c r="D32" i="4" l="1"/>
  <c r="D18" i="7" s="1"/>
  <c r="E25" i="4"/>
  <c r="E45" i="7"/>
  <c r="E47" i="7" s="1"/>
  <c r="E49" i="7" s="1"/>
  <c r="E13" i="18"/>
  <c r="E21" i="14"/>
  <c r="C22" i="14"/>
  <c r="E21" i="7"/>
  <c r="E33" i="7" l="1"/>
  <c r="E40" i="7"/>
  <c r="E41" i="7" s="1"/>
  <c r="E22" i="14"/>
  <c r="C23" i="14"/>
  <c r="E28" i="4"/>
  <c r="D7" i="13"/>
  <c r="D9" i="13" s="1"/>
  <c r="D11" i="13" s="1"/>
  <c r="D13" i="13" s="1"/>
  <c r="D14" i="13" s="1"/>
  <c r="E29" i="4" s="1"/>
  <c r="E15" i="18" s="1"/>
  <c r="J18" i="4"/>
  <c r="J3" i="15"/>
  <c r="K3" i="15"/>
  <c r="D7" i="20" l="1"/>
  <c r="E30" i="4"/>
  <c r="E23" i="14"/>
  <c r="C24" i="14"/>
  <c r="J25" i="4"/>
  <c r="J28" i="4" s="1"/>
  <c r="J48" i="7"/>
  <c r="K18" i="4"/>
  <c r="E24" i="14" l="1"/>
  <c r="F21" i="4" s="1"/>
  <c r="F23" i="4" s="1"/>
  <c r="C25" i="14"/>
  <c r="E31" i="4"/>
  <c r="E17" i="18" s="1"/>
  <c r="E26" i="18" s="1"/>
  <c r="E27" i="18" s="1"/>
  <c r="D8" i="20"/>
  <c r="E32" i="4"/>
  <c r="E18" i="7" s="1"/>
  <c r="I7" i="20"/>
  <c r="I7" i="13"/>
  <c r="I9" i="13" s="1"/>
  <c r="I11" i="13" s="1"/>
  <c r="I13" i="13" s="1"/>
  <c r="I14" i="13" s="1"/>
  <c r="J29" i="4" s="1"/>
  <c r="J15" i="18" s="1"/>
  <c r="K25" i="4"/>
  <c r="K28" i="4" s="1"/>
  <c r="K48" i="7"/>
  <c r="F45" i="7" l="1"/>
  <c r="F47" i="7" s="1"/>
  <c r="F49" i="7" s="1"/>
  <c r="F25" i="4"/>
  <c r="F13" i="18"/>
  <c r="E25" i="14"/>
  <c r="F21" i="7"/>
  <c r="C26" i="14"/>
  <c r="J7" i="20"/>
  <c r="J30" i="4"/>
  <c r="J31" i="4" s="1"/>
  <c r="J7" i="13"/>
  <c r="J9" i="13" s="1"/>
  <c r="J11" i="13" s="1"/>
  <c r="J13" i="13" s="1"/>
  <c r="J14" i="13" s="1"/>
  <c r="K29" i="4" s="1"/>
  <c r="E26" i="14" l="1"/>
  <c r="C27" i="14"/>
  <c r="F33" i="7"/>
  <c r="F40" i="7"/>
  <c r="F41" i="7" s="1"/>
  <c r="F28" i="4"/>
  <c r="E7" i="13"/>
  <c r="E9" i="13" s="1"/>
  <c r="E11" i="13" s="1"/>
  <c r="E13" i="13" s="1"/>
  <c r="E14" i="13" s="1"/>
  <c r="F29" i="4" s="1"/>
  <c r="F15" i="18" s="1"/>
  <c r="J32" i="4"/>
  <c r="J18" i="7" s="1"/>
  <c r="I8" i="20"/>
  <c r="K30" i="4"/>
  <c r="K31" i="4" s="1"/>
  <c r="K15" i="18"/>
  <c r="C28" i="14" l="1"/>
  <c r="E27" i="14"/>
  <c r="E7" i="20"/>
  <c r="F30" i="4"/>
  <c r="J17" i="18"/>
  <c r="J26" i="18" s="1"/>
  <c r="K32" i="4"/>
  <c r="K18" i="7" s="1"/>
  <c r="J8" i="20"/>
  <c r="F31" i="4" l="1"/>
  <c r="F17" i="18" s="1"/>
  <c r="F26" i="18" s="1"/>
  <c r="F27" i="18" s="1"/>
  <c r="E8" i="20"/>
  <c r="C29" i="14"/>
  <c r="E28" i="14"/>
  <c r="G21" i="4" s="1"/>
  <c r="G23" i="4" s="1"/>
  <c r="G21" i="7"/>
  <c r="J27" i="18"/>
  <c r="K17" i="18"/>
  <c r="K26" i="18" s="1"/>
  <c r="F32" i="4" l="1"/>
  <c r="F18" i="7" s="1"/>
  <c r="G40" i="7"/>
  <c r="G41" i="7" s="1"/>
  <c r="G33" i="7"/>
  <c r="C30" i="14"/>
  <c r="E29" i="14"/>
  <c r="G13" i="18"/>
  <c r="G45" i="7"/>
  <c r="G47" i="7" s="1"/>
  <c r="G49" i="7" s="1"/>
  <c r="G25" i="4"/>
  <c r="K27" i="18"/>
  <c r="G28" i="4" l="1"/>
  <c r="F7" i="13"/>
  <c r="F9" i="13" s="1"/>
  <c r="F11" i="13" s="1"/>
  <c r="F13" i="13" s="1"/>
  <c r="F14" i="13" s="1"/>
  <c r="G29" i="4" s="1"/>
  <c r="G15" i="18" s="1"/>
  <c r="E30" i="14"/>
  <c r="C31" i="14"/>
  <c r="C32" i="14" l="1"/>
  <c r="E31" i="14"/>
  <c r="F7" i="20"/>
  <c r="G30" i="4"/>
  <c r="G31" i="4" l="1"/>
  <c r="G17" i="18" s="1"/>
  <c r="G26" i="18" s="1"/>
  <c r="G27" i="18" s="1"/>
  <c r="F8" i="20"/>
  <c r="C33" i="14"/>
  <c r="E32" i="14"/>
  <c r="H21" i="4" s="1"/>
  <c r="H23" i="4" s="1"/>
  <c r="H21" i="7"/>
  <c r="G32" i="4" l="1"/>
  <c r="G18" i="7" s="1"/>
  <c r="H45" i="7"/>
  <c r="H47" i="7" s="1"/>
  <c r="H49" i="7" s="1"/>
  <c r="H25" i="4"/>
  <c r="H13" i="18"/>
  <c r="H33" i="7"/>
  <c r="H40" i="7"/>
  <c r="F42" i="7" s="1"/>
  <c r="E33" i="14"/>
  <c r="C34" i="14"/>
  <c r="C35" i="14" l="1"/>
  <c r="E34" i="14"/>
  <c r="H28" i="4"/>
  <c r="G7" i="13"/>
  <c r="G9" i="13" s="1"/>
  <c r="G11" i="13" s="1"/>
  <c r="G13" i="13" s="1"/>
  <c r="G14" i="13" s="1"/>
  <c r="H29" i="4" s="1"/>
  <c r="H15" i="18" s="1"/>
  <c r="G7" i="20" l="1"/>
  <c r="H30" i="4"/>
  <c r="C36" i="14"/>
  <c r="E36" i="14" s="1"/>
  <c r="E35" i="14"/>
  <c r="I21" i="4" s="1"/>
  <c r="I23" i="4" s="1"/>
  <c r="I45" i="7" l="1"/>
  <c r="I47" i="7" s="1"/>
  <c r="I25" i="4"/>
  <c r="I13" i="18"/>
  <c r="H31" i="4"/>
  <c r="H17" i="18" s="1"/>
  <c r="H26" i="18" s="1"/>
  <c r="H27" i="18" s="1"/>
  <c r="G8" i="20"/>
  <c r="H32" i="4"/>
  <c r="H18" i="7" s="1"/>
  <c r="I28" i="4" l="1"/>
  <c r="H7" i="13"/>
  <c r="H9" i="13" s="1"/>
  <c r="H11" i="13" s="1"/>
  <c r="H13" i="13" s="1"/>
  <c r="H14" i="13" s="1"/>
  <c r="I29" i="4" s="1"/>
  <c r="I15" i="18" s="1"/>
  <c r="H7" i="20" l="1"/>
  <c r="I30" i="4"/>
  <c r="I31" i="4" l="1"/>
  <c r="H8" i="20"/>
  <c r="C10" i="4"/>
  <c r="I17" i="18" l="1"/>
  <c r="I26" i="18" s="1"/>
  <c r="I27" i="18" s="1"/>
  <c r="I32" i="4"/>
  <c r="I18" i="7" s="1"/>
  <c r="C11" i="18"/>
  <c r="C14" i="18" s="1"/>
  <c r="C11" i="4"/>
  <c r="C16" i="4" s="1"/>
  <c r="C18" i="4" l="1"/>
  <c r="B4" i="20"/>
  <c r="B5" i="20" s="1"/>
  <c r="B6" i="20" s="1"/>
  <c r="C48" i="7" l="1"/>
  <c r="C49" i="7" s="1"/>
  <c r="F50" i="7" s="1"/>
  <c r="C25" i="4"/>
  <c r="C28" i="4" s="1"/>
  <c r="B7" i="13" l="1"/>
  <c r="B9" i="13" s="1"/>
  <c r="B11" i="13" s="1"/>
  <c r="B13" i="13" s="1"/>
  <c r="B14" i="13" s="1"/>
  <c r="C29" i="4" s="1"/>
  <c r="C15" i="18" s="1"/>
  <c r="C16" i="18" l="1"/>
  <c r="C30" i="4"/>
  <c r="C31" i="4" s="1"/>
  <c r="B7" i="20"/>
  <c r="B8" i="20" l="1"/>
  <c r="C17" i="18" l="1"/>
  <c r="C26" i="18" s="1"/>
  <c r="C32"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<sst xmlns="http://schemas.openxmlformats.org/spreadsheetml/2006/main" count="392" uniqueCount="281">
  <si>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</si>
  <si>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</si>
  <si>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</si>
  <si>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</si>
  <si>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</si>
  <si>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</si>
  <si>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</si>
  <si>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</si>
  <si>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</si>
  <si>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</si>
  <si>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</si>
  <si>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</si>
  <si>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</si>
  <si>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</si>
  <si>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</si>
  <si>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</si>
  <si>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</si>
  <si>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</si>
  <si>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</si>
  <si>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</si>
  <si>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</si>
  <si>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</si>
  <si>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</si>
  <si>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</si>
  <si>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</si>
  <si>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</si>
  <si>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</si>
  <si>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</si>
  <si>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</si>
  <si>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</si>
  <si>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</si>
  <si>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</si>
  <si>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</si>
  <si>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</si>
  <si>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</si>
  <si>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</si>
  <si>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</si>
  <si>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</si>
  <si>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</si>
  <si>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</si>
  <si>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</si>
  <si>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</si>
  <si>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</si>
  <si>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</si>
  <si>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</si>
  <si>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</si>
  <si>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</si>
  <si>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</si>
  <si>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</si>
  <si>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</si>
  <si>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</si>
  <si>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</si>
  <si>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</si>
  <si>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</si>
  <si>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</si>
  <si>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</si>
  <si>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</si>
  <si>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</si>
  <si>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</si>
  <si>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</si>
  <si>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</si>
  <si>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</si>
  <si>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</si>
  <si>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</si>
  <si>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</si>
  <si>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</si>
  <si>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</si>
  <si>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</si>
  <si>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</si>
  <si>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</si>
  <si>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</si>
  <si>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</si>
  <si>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</si>
  <si>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</si>
  <si>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</si>
  <si>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</si>
  <si>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</si>
  <si>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</si>
  <si>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</si>
  <si>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</si>
  <si>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</si>
  <si>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</si>
  <si>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</si>
  <si>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</si>
  <si>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</si>
  <si>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</si>
  <si>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</si>
  <si>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</si>
  <si>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</si>
  <si>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</si>
  <si>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</si>
  <si>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</si>
  <si>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</si>
  <si>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</si>
  <si>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</si>
  <si>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</si>
  <si>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</si>
  <si>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</si>
  <si>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</si>
  <si>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</si>
  <si>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</si>
  <si>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</si>
  <si>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</si>
  <si>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</si>
  <si>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</si>
  <si>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</si>
  <si>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</si>
  <si>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</si>
  <si>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</si>
  <si>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</si>
  <si>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</si>
  <si>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</si>
  <si>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</si>
  <si>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</si>
  <si>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</si>
  <si>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</si>
  <si>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</si>
  <si>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</si>
  <si>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</si>
  <si>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</si>
  <si>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</si>
  <si>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</si>
  <si>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</si>
  <si>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</si>
  <si>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</si>
  <si>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</si>
  <si>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</si>
  <si>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</si>
  <si>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</si>
  <si>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</si>
  <si>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</si>
  <si>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</si>
  <si>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</si>
  <si>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</si>
  <si>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</si>
  <si>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</si>
  <si>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</si>
  <si>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</si>
  <si>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</si>
  <si>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</si>
  <si>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</si>
  <si>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</si>
  <si>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</si>
  <si>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</si>
  <si>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</si>
  <si>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</si>
  <si>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</si>
  <si>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</si>
  <si>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</si>
  <si>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</si>
  <si>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</si>
  <si>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</si>
  <si>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</si>
  <si>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</si>
  <si>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</si>
  <si>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</si>
  <si>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</si>
  <si>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</si>
  <si>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</si>
  <si>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</si>
  <si>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</si>
  <si>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</si>
  <si>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</si>
  <si>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</si>
  <si>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</si>
  <si>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</si>
  <si>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</si>
  <si>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</si>
  <si>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</si>
  <si>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</si>
  <si>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</si>
  <si>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Sales qty</t>
  </si>
  <si>
    <t>Production budget</t>
  </si>
  <si>
    <t>Products</t>
  </si>
  <si>
    <t>Production at 100% capacity</t>
  </si>
  <si>
    <t>Output</t>
  </si>
  <si>
    <t>Electricity expense</t>
  </si>
  <si>
    <t>Usage in units</t>
  </si>
  <si>
    <t>4. Electricity usage in units is given below</t>
  </si>
  <si>
    <t>Cost of Production</t>
  </si>
  <si>
    <t>Sub Total</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</si>
  <si>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</si>
  <si>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</si>
  <si>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</si>
  <si>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</si>
  <si>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</si>
  <si>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</si>
  <si>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</si>
  <si>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</si>
  <si>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</si>
  <si>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</si>
  <si>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</si>
  <si>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</si>
  <si>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</si>
  <si>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</si>
  <si>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</si>
  <si>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</si>
  <si>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</si>
  <si>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</si>
  <si>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</si>
  <si>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</si>
  <si>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</si>
  <si>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</si>
  <si>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</si>
  <si>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</si>
  <si>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</si>
  <si>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</si>
  <si>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</si>
  <si>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</si>
  <si>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</si>
  <si>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</si>
  <si>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</si>
  <si>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</si>
  <si>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</si>
  <si>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</si>
  <si>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</si>
  <si>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</si>
  <si>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</si>
  <si>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</si>
  <si>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</si>
  <si>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</si>
  <si>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</si>
  <si>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</si>
  <si>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</si>
  <si>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</si>
  <si>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</si>
  <si>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</si>
  <si>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</si>
  <si>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</si>
  <si>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DPR without subsidy</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</si>
  <si>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</si>
  <si>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</si>
  <si>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</si>
  <si>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</si>
  <si>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</si>
  <si>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</si>
  <si>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</si>
  <si>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</si>
  <si>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</si>
  <si>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</si>
  <si>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</si>
  <si>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</si>
  <si>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</si>
  <si>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</si>
  <si>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</si>
  <si>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</si>
  <si>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</si>
  <si>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</si>
  <si>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</si>
  <si>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</si>
  <si>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</si>
  <si>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</si>
  <si>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</si>
  <si>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</si>
  <si>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Asssumed that 30 days of purchases are average creditors maintained</t>
  </si>
  <si>
    <t>1. Civil Work</t>
  </si>
  <si>
    <t>Building, steel and wooden work</t>
  </si>
  <si>
    <t>PUF Panel and insulated doors</t>
  </si>
  <si>
    <t>Dock and lever shelter</t>
  </si>
  <si>
    <t>Electricals</t>
  </si>
  <si>
    <t>PLC</t>
  </si>
  <si>
    <t>Grading line</t>
  </si>
  <si>
    <t>Total Civil Work</t>
  </si>
  <si>
    <t>Per annum capacity in kgs</t>
  </si>
  <si>
    <t>Estimated ocupational capacity</t>
  </si>
  <si>
    <t>Operational days/ months</t>
  </si>
  <si>
    <t>365 days/ 12 months</t>
  </si>
  <si>
    <t>sales prices per kg per month</t>
  </si>
  <si>
    <t>Less: Pre incorporation expense</t>
  </si>
  <si>
    <t>Electricity fixed charge</t>
  </si>
  <si>
    <t>Running and Manintenance expense @10% of sales</t>
  </si>
  <si>
    <t>Add: benefits @ 20%</t>
  </si>
  <si>
    <t>BEP in kgs</t>
  </si>
  <si>
    <t>Less: Fixed costs</t>
  </si>
  <si>
    <t>Assumed that 60 days of sales are average debtors maintained by the business</t>
  </si>
  <si>
    <t>Insurance cost @ 7% of purchase cost</t>
  </si>
  <si>
    <t>It is assumed that insuarance cost is 7% of purchase price and this will increase 5% annually</t>
  </si>
  <si>
    <t>3. Electricity are semi-fixed cost. Rs. 700,000 pa is fixed, balance is variable at Rs. 14 per unit usage</t>
  </si>
  <si>
    <t>Electricity are semi-fixed cost. Rs. 700,000 pa is fixed, balance is variable at Rs. 14 per unit usage</t>
  </si>
  <si>
    <t>Rs. per kg</t>
  </si>
  <si>
    <t>For the first year of operation the break-even capacity comes at 64.30%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</si>
</sst>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_(* #,##0.000000000_);_(* \(#,##0.000000000\);_(* &quot;-&quot;??_);_(@_)"/>
    <numFmt numFmtId="167" formatCode="0.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7">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0" fontId="2" fillId="0" borderId="1" xfId="0" applyFont="1" applyBorder="1"/>
    <xf numFmtId="0" fontId="6" fillId="0" borderId="1" xfId="3" quotePrefix="1" applyBorder="1"/>
    <xf numFmtId="0" fontId="6" fillId="0" borderId="1" xfId="3" applyBorder="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Fill="1" applyBorder="1" applyAlignment="1">
      <alignment horizontal="left"/>
    </xf>
    <xf numFmtId="0" fontId="0" fillId="0" borderId="6" xfId="0" applyBorder="1" applyAlignment="1">
      <alignment horizontal="left" wrapText="1"/>
    </xf>
    <xf numFmtId="43" fontId="0" fillId="0" borderId="0" xfId="1" applyFont="1"/>
    <xf numFmtId="0" fontId="2" fillId="0" borderId="13" xfId="0" applyFont="1" applyBorder="1"/>
    <xf numFmtId="0" fontId="2" fillId="0" borderId="14" xfId="0" applyFont="1" applyBorder="1"/>
    <xf numFmtId="164" fontId="2" fillId="0" borderId="10" xfId="0" applyNumberFormat="1" applyFont="1" applyBorder="1"/>
    <xf numFmtId="164" fontId="0" fillId="0" borderId="9" xfId="1" applyNumberFormat="1" applyFont="1" applyFill="1" applyBorder="1" applyAlignment="1">
      <alignment horizontal="left"/>
    </xf>
    <xf numFmtId="2" fontId="0" fillId="0" borderId="1" xfId="1" applyNumberFormat="1" applyFont="1" applyBorder="1"/>
    <xf numFmtId="10" fontId="0" fillId="3" borderId="0" xfId="0" applyNumberFormat="1" applyFill="1"/>
    <xf numFmtId="0" fontId="0" fillId="3" borderId="0" xfId="0" applyFill="1" applyAlignment="1">
      <alignment horizontal="right"/>
    </xf>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164" fontId="7" fillId="0" borderId="0" xfId="0" applyNumberFormat="1"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7" sqref="A17"/>
    </sheetView>
  </sheetViews>
  <sheetFormatPr defaultRowHeight="14.5" x14ac:dyDescent="0.35"/>
  <cols>
    <col min="1" max="1" width="57.90625" bestFit="1" customWidth="1"/>
    <col min="2" max="2" width="14.453125" bestFit="1" customWidth="1"/>
  </cols>
  <sheetData>
    <row r="1" spans="1:2" x14ac:dyDescent="0.35">
      <c r="A1" s="22" t="s">
        <v>211</v>
      </c>
    </row>
    <row r="3" spans="1:2" x14ac:dyDescent="0.35">
      <c r="A3" s="85" t="s">
        <v>212</v>
      </c>
      <c r="B3" s="85" t="s">
        <v>213</v>
      </c>
    </row>
    <row r="4" spans="1:2" x14ac:dyDescent="0.35">
      <c r="A4" s="12" t="str">
        <f>'[1]Ann 1'!A3</f>
        <v>Annexure 1 - Estimated cost of the project</v>
      </c>
      <c r="B4" s="86" t="s">
        <v>214</v>
      </c>
    </row>
    <row r="5" spans="1:2" x14ac:dyDescent="0.35">
      <c r="A5" s="12" t="str">
        <f>'[1]Ann 2'!A1</f>
        <v>Annexure 2 - Means of Finance</v>
      </c>
      <c r="B5" s="86" t="s">
        <v>215</v>
      </c>
    </row>
    <row r="6" spans="1:2" x14ac:dyDescent="0.35">
      <c r="A6" s="12" t="str">
        <f>'Ann 3'!A1</f>
        <v>Annexure 3 - Complete Estimate of Civil and Plant and Machinery</v>
      </c>
      <c r="B6" s="86" t="s">
        <v>234</v>
      </c>
    </row>
    <row r="7" spans="1:2" x14ac:dyDescent="0.35">
      <c r="A7" s="12" t="str">
        <f>'[1]Ann 4'!A1</f>
        <v>Annexure 4 - Estimated Cost of Production</v>
      </c>
      <c r="B7" s="86" t="s">
        <v>216</v>
      </c>
    </row>
    <row r="8" spans="1:2" x14ac:dyDescent="0.35">
      <c r="A8" s="12" t="str">
        <f>'[1]Ann 5'!A1</f>
        <v>Annexure 5- Projected balance sheet</v>
      </c>
      <c r="B8" s="86" t="s">
        <v>217</v>
      </c>
    </row>
    <row r="9" spans="1:2" x14ac:dyDescent="0.35">
      <c r="A9" s="12" t="str">
        <f>'Ann 8'!A1</f>
        <v>Annexure 8 - Details of Mnpower</v>
      </c>
      <c r="B9" s="86" t="s">
        <v>218</v>
      </c>
    </row>
    <row r="10" spans="1:2" x14ac:dyDescent="0.35">
      <c r="A10" s="12" t="str">
        <f>'Ann 9'!A1</f>
        <v>Annexure 9 - Computation of Depreciation</v>
      </c>
      <c r="B10" s="86" t="s">
        <v>219</v>
      </c>
    </row>
    <row r="11" spans="1:2" x14ac:dyDescent="0.35">
      <c r="A11" s="12" t="str">
        <f>'Ann 10'!A1</f>
        <v>Annexure 10 - Calculation of Income tax</v>
      </c>
      <c r="B11" s="86" t="s">
        <v>220</v>
      </c>
    </row>
    <row r="12" spans="1:2" x14ac:dyDescent="0.35">
      <c r="A12" s="12" t="str">
        <f>'[1]Ann 11'!A1</f>
        <v>Annexure 11- Break even analysis (At maximum capacity utilization)</v>
      </c>
      <c r="B12" s="86" t="s">
        <v>221</v>
      </c>
    </row>
    <row r="13" spans="1:2" x14ac:dyDescent="0.35">
      <c r="A13" s="12" t="str">
        <f>'Ann 13'!A1</f>
        <v>Annexure 13 - Repayment schedule</v>
      </c>
      <c r="B13" s="86" t="s">
        <v>222</v>
      </c>
    </row>
    <row r="14" spans="1:2" x14ac:dyDescent="0.35">
      <c r="A14" s="12" t="str">
        <f>[1]Assumptions!B1</f>
        <v>Assumptions</v>
      </c>
      <c r="B14" s="87" t="s">
        <v>223</v>
      </c>
    </row>
    <row r="15" spans="1:2" x14ac:dyDescent="0.35">
      <c r="A15" s="12" t="str">
        <f>'Cash flows'!A1</f>
        <v>Cash flow statement</v>
      </c>
      <c r="B15" s="86" t="s">
        <v>228</v>
      </c>
    </row>
    <row r="16" spans="1:2" x14ac:dyDescent="0.35">
      <c r="A16" s="12" t="str">
        <f>[1]Budgets!A1</f>
        <v>Sales Budget</v>
      </c>
      <c r="B16" s="87" t="s">
        <v>224</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107</v>
      </c>
    </row>
    <row r="3" spans="1:10" x14ac:dyDescent="0.35">
      <c r="A3" s="3" t="s">
        <v>108</v>
      </c>
    </row>
    <row r="5" spans="1:10" x14ac:dyDescent="0.35">
      <c r="A5" s="107" t="s">
        <v>3</v>
      </c>
      <c r="B5" s="107" t="s">
        <v>48</v>
      </c>
      <c r="C5" s="107"/>
      <c r="D5" s="107"/>
      <c r="E5" s="107"/>
      <c r="F5" s="107"/>
      <c r="G5" s="107"/>
      <c r="H5" s="107"/>
      <c r="I5" s="107"/>
      <c r="J5" s="107"/>
    </row>
    <row r="6" spans="1:10" x14ac:dyDescent="0.35">
      <c r="A6" s="107"/>
      <c r="B6" s="34" t="s">
        <v>39</v>
      </c>
      <c r="C6" s="34" t="s">
        <v>40</v>
      </c>
      <c r="D6" s="34" t="s">
        <v>41</v>
      </c>
      <c r="E6" s="34" t="s">
        <v>42</v>
      </c>
      <c r="F6" s="34" t="s">
        <v>43</v>
      </c>
      <c r="G6" s="34" t="s">
        <v>44</v>
      </c>
      <c r="H6" s="34" t="s">
        <v>45</v>
      </c>
      <c r="I6" s="34" t="s">
        <v>46</v>
      </c>
      <c r="J6" s="34" t="s">
        <v>47</v>
      </c>
    </row>
    <row r="7" spans="1:10" x14ac:dyDescent="0.35">
      <c r="A7" s="12" t="s">
        <v>109</v>
      </c>
      <c r="B7" s="30">
        <f>'Ann 4'!C25</f>
        <v>66994665.5</v>
      </c>
      <c r="C7" s="30">
        <f>'Ann 4'!D25</f>
        <v>68425889</v>
      </c>
      <c r="D7" s="30">
        <f>'Ann 4'!E25</f>
        <v>69947395.039999992</v>
      </c>
      <c r="E7" s="30">
        <f>'Ann 4'!F25</f>
        <v>71463145.842799991</v>
      </c>
      <c r="F7" s="30">
        <f>'Ann 4'!G25</f>
        <v>72971366.176796004</v>
      </c>
      <c r="G7" s="30">
        <f>'Ann 4'!H25</f>
        <v>74470137.49792172</v>
      </c>
      <c r="H7" s="30">
        <f>'Ann 4'!I25</f>
        <v>75957387.956903726</v>
      </c>
      <c r="I7" s="30">
        <f>'Ann 4'!J25</f>
        <v>77504735.474372178</v>
      </c>
      <c r="J7" s="30">
        <f>'Ann 4'!K25</f>
        <v>78734405.047338873</v>
      </c>
    </row>
    <row r="8" spans="1:10" x14ac:dyDescent="0.35">
      <c r="A8" s="12" t="s">
        <v>110</v>
      </c>
      <c r="B8" s="30">
        <v>0</v>
      </c>
      <c r="C8" s="30">
        <v>0</v>
      </c>
      <c r="D8" s="30">
        <v>0</v>
      </c>
      <c r="E8" s="30">
        <v>0</v>
      </c>
      <c r="F8" s="30">
        <v>0</v>
      </c>
      <c r="G8" s="30">
        <v>0</v>
      </c>
      <c r="H8" s="30">
        <v>0</v>
      </c>
      <c r="I8" s="30">
        <v>0</v>
      </c>
      <c r="J8" s="30">
        <v>0</v>
      </c>
    </row>
    <row r="9" spans="1:10" x14ac:dyDescent="0.35">
      <c r="A9" s="12" t="s">
        <v>111</v>
      </c>
      <c r="B9" s="30">
        <f>B7+B8</f>
        <v>66994665.5</v>
      </c>
      <c r="C9" s="30">
        <f t="shared" ref="C9:J9" si="0">C7+C8</f>
        <v>68425889</v>
      </c>
      <c r="D9" s="30">
        <f t="shared" si="0"/>
        <v>69947395.039999992</v>
      </c>
      <c r="E9" s="30">
        <f t="shared" si="0"/>
        <v>71463145.842799991</v>
      </c>
      <c r="F9" s="30">
        <f t="shared" si="0"/>
        <v>72971366.176796004</v>
      </c>
      <c r="G9" s="30">
        <f t="shared" si="0"/>
        <v>74470137.49792172</v>
      </c>
      <c r="H9" s="30">
        <f t="shared" si="0"/>
        <v>75957387.956903726</v>
      </c>
      <c r="I9" s="30">
        <f t="shared" si="0"/>
        <v>77504735.474372178</v>
      </c>
      <c r="J9" s="30">
        <f t="shared" si="0"/>
        <v>78734405.047338873</v>
      </c>
    </row>
    <row r="10" spans="1:10" x14ac:dyDescent="0.35">
      <c r="A10" s="12" t="s">
        <v>112</v>
      </c>
      <c r="B10" s="30">
        <f>SUM('Ann 9'!C12:E12)</f>
        <v>6930000</v>
      </c>
      <c r="C10" s="30">
        <f>SUM('Ann 9'!C13:E13)</f>
        <v>6085500</v>
      </c>
      <c r="D10" s="30">
        <f>SUM('Ann 9'!C14:E14)</f>
        <v>5348175</v>
      </c>
      <c r="E10" s="30">
        <f>SUM('Ann 9'!C15:E15)</f>
        <v>4703898.75</v>
      </c>
      <c r="F10" s="30">
        <f>SUM('Ann 9'!C16:E16)</f>
        <v>4140468.9375</v>
      </c>
      <c r="G10" s="30">
        <f>SUM('Ann 9'!C17:E17)</f>
        <v>3647338.0968749998</v>
      </c>
      <c r="H10" s="30">
        <f>SUM('Ann 9'!C18:E18)</f>
        <v>3215382.9323437503</v>
      </c>
      <c r="I10" s="30">
        <f>SUM('Ann 9'!C19:E19)</f>
        <v>2836706.4874921879</v>
      </c>
      <c r="J10" s="30">
        <f>SUM('Ann 9'!C20:E20)</f>
        <v>2504468.4098683596</v>
      </c>
    </row>
    <row r="11" spans="1:10" x14ac:dyDescent="0.35">
      <c r="A11" s="12" t="s">
        <v>111</v>
      </c>
      <c r="B11" s="30">
        <f>B9-B10</f>
        <v>60064665.5</v>
      </c>
      <c r="C11" s="30">
        <f t="shared" ref="C11:J11" si="1">C9-C10</f>
        <v>62340389</v>
      </c>
      <c r="D11" s="30">
        <f t="shared" si="1"/>
        <v>64599220.039999992</v>
      </c>
      <c r="E11" s="30">
        <f t="shared" si="1"/>
        <v>66759247.092799991</v>
      </c>
      <c r="F11" s="30">
        <f t="shared" si="1"/>
        <v>68830897.239296004</v>
      </c>
      <c r="G11" s="30">
        <f t="shared" si="1"/>
        <v>70822799.401046723</v>
      </c>
      <c r="H11" s="30">
        <f t="shared" si="1"/>
        <v>72742005.024559975</v>
      </c>
      <c r="I11" s="30">
        <f t="shared" si="1"/>
        <v>74668028.98687999</v>
      </c>
      <c r="J11" s="30">
        <f t="shared" si="1"/>
        <v>76229936.637470514</v>
      </c>
    </row>
    <row r="12" spans="1:10" x14ac:dyDescent="0.35">
      <c r="A12" s="12" t="s">
        <v>113</v>
      </c>
      <c r="B12" s="54">
        <v>0</v>
      </c>
      <c r="C12" s="54">
        <v>0</v>
      </c>
      <c r="D12" s="54">
        <v>0</v>
      </c>
      <c r="E12" s="54">
        <v>0</v>
      </c>
      <c r="F12" s="54">
        <v>0</v>
      </c>
      <c r="G12" s="54">
        <v>0</v>
      </c>
      <c r="H12" s="54">
        <v>0</v>
      </c>
      <c r="I12" s="54">
        <v>0</v>
      </c>
      <c r="J12" s="54">
        <v>0</v>
      </c>
    </row>
    <row r="13" spans="1:10" x14ac:dyDescent="0.35">
      <c r="A13" s="12" t="s">
        <v>114</v>
      </c>
      <c r="B13" s="40">
        <f>B11</f>
        <v>60064665.5</v>
      </c>
      <c r="C13" s="40">
        <f t="shared" ref="C13:J13" si="2">C11</f>
        <v>62340389</v>
      </c>
      <c r="D13" s="40">
        <f t="shared" si="2"/>
        <v>64599220.039999992</v>
      </c>
      <c r="E13" s="40">
        <f t="shared" si="2"/>
        <v>66759247.092799991</v>
      </c>
      <c r="F13" s="40">
        <f t="shared" si="2"/>
        <v>68830897.239296004</v>
      </c>
      <c r="G13" s="40">
        <f t="shared" si="2"/>
        <v>70822799.401046723</v>
      </c>
      <c r="H13" s="40">
        <f t="shared" si="2"/>
        <v>72742005.024559975</v>
      </c>
      <c r="I13" s="40">
        <f t="shared" si="2"/>
        <v>74668028.98687999</v>
      </c>
      <c r="J13" s="40">
        <f t="shared" si="2"/>
        <v>76229936.637470514</v>
      </c>
    </row>
    <row r="14" spans="1:10" x14ac:dyDescent="0.35">
      <c r="A14" s="12" t="s">
        <v>115</v>
      </c>
      <c r="B14" s="40">
        <f>B13*30%</f>
        <v>18019399.649999999</v>
      </c>
      <c r="C14" s="40">
        <f t="shared" ref="C14:J14" si="3">C13*30%</f>
        <v>18702116.699999999</v>
      </c>
      <c r="D14" s="40">
        <f t="shared" si="3"/>
        <v>19379766.011999998</v>
      </c>
      <c r="E14" s="40">
        <f t="shared" si="3"/>
        <v>20027774.127839997</v>
      </c>
      <c r="F14" s="40">
        <f t="shared" si="3"/>
        <v>20649269.171788801</v>
      </c>
      <c r="G14" s="40">
        <f t="shared" si="3"/>
        <v>21246839.820314016</v>
      </c>
      <c r="H14" s="40">
        <f t="shared" si="3"/>
        <v>21822601.507367991</v>
      </c>
      <c r="I14" s="40">
        <f t="shared" si="3"/>
        <v>22400408.696063995</v>
      </c>
      <c r="J14" s="40">
        <f t="shared" si="3"/>
        <v>22868980.991241153</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24"/>
  <sheetViews>
    <sheetView workbookViewId="0">
      <selection activeCell="C20" sqref="C20"/>
    </sheetView>
  </sheetViews>
  <sheetFormatPr defaultRowHeight="14.5" x14ac:dyDescent="0.35"/>
  <cols>
    <col min="2" max="2" width="26.7265625" bestFit="1" customWidth="1"/>
    <col min="3" max="3" width="14.6328125" bestFit="1" customWidth="1"/>
    <col min="4" max="4" width="13.54296875" bestFit="1" customWidth="1"/>
    <col min="5" max="5" width="13.6328125" bestFit="1" customWidth="1"/>
    <col min="15" max="15" width="13.6328125" bestFit="1" customWidth="1"/>
    <col min="16" max="16" width="12.54296875" bestFit="1" customWidth="1"/>
  </cols>
  <sheetData>
    <row r="1" spans="1:7" x14ac:dyDescent="0.35">
      <c r="A1" s="22" t="s">
        <v>71</v>
      </c>
    </row>
    <row r="3" spans="1:7" x14ac:dyDescent="0.35">
      <c r="A3" s="3" t="s">
        <v>72</v>
      </c>
    </row>
    <row r="5" spans="1:7" x14ac:dyDescent="0.35">
      <c r="B5" t="s">
        <v>50</v>
      </c>
      <c r="E5" s="15">
        <f>'Ann 4'!C17/70%</f>
        <v>128571428.57142858</v>
      </c>
    </row>
    <row r="6" spans="1:7" x14ac:dyDescent="0.35">
      <c r="B6" t="s">
        <v>73</v>
      </c>
    </row>
    <row r="7" spans="1:7" x14ac:dyDescent="0.35">
      <c r="B7" s="23" t="s">
        <v>74</v>
      </c>
      <c r="D7" s="16">
        <f>E5*10%</f>
        <v>12857142.857142858</v>
      </c>
    </row>
    <row r="8" spans="1:7" x14ac:dyDescent="0.35">
      <c r="B8" s="23" t="s">
        <v>75</v>
      </c>
      <c r="D8" s="16">
        <v>0</v>
      </c>
      <c r="E8" s="16"/>
    </row>
    <row r="9" spans="1:7" x14ac:dyDescent="0.35">
      <c r="B9" s="23" t="s">
        <v>78</v>
      </c>
      <c r="D9" s="16">
        <f>'Ann 4'!K37</f>
        <v>5253174.9112500008</v>
      </c>
      <c r="E9" s="16">
        <f>SUM(D7:D9)</f>
        <v>18110317.768392861</v>
      </c>
      <c r="G9" s="24"/>
    </row>
    <row r="10" spans="1:7" x14ac:dyDescent="0.35">
      <c r="B10" t="s">
        <v>76</v>
      </c>
      <c r="E10" s="16">
        <f>E5-E9</f>
        <v>110461110.80303572</v>
      </c>
    </row>
    <row r="11" spans="1:7" x14ac:dyDescent="0.35">
      <c r="B11" t="s">
        <v>273</v>
      </c>
    </row>
    <row r="12" spans="1:7" x14ac:dyDescent="0.35">
      <c r="B12" t="s">
        <v>77</v>
      </c>
      <c r="E12" s="16">
        <f>'Ann 4'!C13*10%</f>
        <v>473040</v>
      </c>
    </row>
    <row r="13" spans="1:7" x14ac:dyDescent="0.35">
      <c r="B13" t="s">
        <v>79</v>
      </c>
      <c r="E13" s="16">
        <f>'Ann 9'!F12</f>
        <v>6930000</v>
      </c>
    </row>
    <row r="14" spans="1:7" x14ac:dyDescent="0.35">
      <c r="B14" t="s">
        <v>269</v>
      </c>
      <c r="E14" s="16">
        <v>700000</v>
      </c>
    </row>
    <row r="15" spans="1:7" x14ac:dyDescent="0.35">
      <c r="B15" t="s">
        <v>207</v>
      </c>
      <c r="E15" s="16">
        <f>SUM('Ann 13'!E9:E12)*100000</f>
        <v>3240934.5</v>
      </c>
    </row>
    <row r="16" spans="1:7" x14ac:dyDescent="0.35">
      <c r="B16" t="s">
        <v>80</v>
      </c>
      <c r="E16" s="16">
        <f>SUM(E12:E15)</f>
        <v>11343974.5</v>
      </c>
    </row>
    <row r="18" spans="1:5" x14ac:dyDescent="0.35">
      <c r="C18" t="s">
        <v>279</v>
      </c>
    </row>
    <row r="19" spans="1:5" x14ac:dyDescent="0.35">
      <c r="B19" t="s">
        <v>81</v>
      </c>
      <c r="C19">
        <f>Budgets!C14</f>
        <v>1.5</v>
      </c>
    </row>
    <row r="20" spans="1:5" x14ac:dyDescent="0.35">
      <c r="B20" t="s">
        <v>272</v>
      </c>
      <c r="C20" s="98">
        <f>C21*Budgets!B14</f>
        <v>3215000</v>
      </c>
    </row>
    <row r="21" spans="1:5" x14ac:dyDescent="0.35">
      <c r="B21" t="s">
        <v>206</v>
      </c>
      <c r="C21" s="42">
        <v>0.64300000000000002</v>
      </c>
    </row>
    <row r="22" spans="1:5" x14ac:dyDescent="0.35">
      <c r="C22" s="42"/>
    </row>
    <row r="23" spans="1:5" ht="49" customHeight="1" x14ac:dyDescent="0.35">
      <c r="A23" s="109" t="s">
        <v>235</v>
      </c>
      <c r="B23" s="109"/>
      <c r="C23" s="109"/>
      <c r="D23" s="109"/>
      <c r="E23" s="109"/>
    </row>
    <row r="24" spans="1:5" ht="86.5" customHeight="1" x14ac:dyDescent="0.35">
      <c r="A24" s="109" t="s">
        <v>280</v>
      </c>
      <c r="B24" s="109"/>
      <c r="C24" s="109"/>
      <c r="D24" s="109"/>
      <c r="E24" s="109"/>
    </row>
  </sheetData>
  <mergeCells count="2">
    <mergeCell ref="A23:E23"/>
    <mergeCell ref="A24:E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82</v>
      </c>
    </row>
    <row r="3" spans="1:11" x14ac:dyDescent="0.35">
      <c r="C3" s="110" t="s">
        <v>83</v>
      </c>
      <c r="D3" s="110"/>
      <c r="E3" s="110"/>
      <c r="F3" s="110"/>
      <c r="G3" s="110"/>
      <c r="H3" s="110"/>
      <c r="I3" s="110"/>
      <c r="J3" s="110"/>
      <c r="K3" s="110"/>
    </row>
    <row r="4" spans="1:11" x14ac:dyDescent="0.35">
      <c r="C4">
        <v>1</v>
      </c>
      <c r="D4">
        <v>2</v>
      </c>
      <c r="E4">
        <v>3</v>
      </c>
      <c r="F4">
        <v>4</v>
      </c>
      <c r="G4">
        <v>5</v>
      </c>
      <c r="H4">
        <v>6</v>
      </c>
      <c r="I4">
        <v>7</v>
      </c>
      <c r="J4">
        <v>8</v>
      </c>
      <c r="K4">
        <v>9</v>
      </c>
    </row>
    <row r="5" spans="1:11" x14ac:dyDescent="0.35">
      <c r="A5" t="s">
        <v>84</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85</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86</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E4" sqref="E4"/>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92</v>
      </c>
    </row>
    <row r="3" spans="1:7" x14ac:dyDescent="0.35">
      <c r="A3" s="3" t="s">
        <v>93</v>
      </c>
    </row>
    <row r="4" spans="1:7" x14ac:dyDescent="0.35">
      <c r="A4" t="s">
        <v>94</v>
      </c>
      <c r="D4" s="2">
        <f>'Ann 2'!C6</f>
        <v>545.4</v>
      </c>
    </row>
    <row r="5" spans="1:7" x14ac:dyDescent="0.35">
      <c r="A5" t="s">
        <v>95</v>
      </c>
      <c r="D5" s="104">
        <v>0.06</v>
      </c>
    </row>
    <row r="6" spans="1:7" x14ac:dyDescent="0.35">
      <c r="A6" t="s">
        <v>96</v>
      </c>
      <c r="D6" s="105" t="s">
        <v>157</v>
      </c>
    </row>
    <row r="8" spans="1:7" x14ac:dyDescent="0.35">
      <c r="A8" s="34" t="s">
        <v>70</v>
      </c>
      <c r="B8" s="34" t="s">
        <v>97</v>
      </c>
      <c r="C8" s="34" t="s">
        <v>98</v>
      </c>
      <c r="D8" s="34" t="s">
        <v>100</v>
      </c>
      <c r="E8" s="34" t="s">
        <v>99</v>
      </c>
    </row>
    <row r="9" spans="1:7" x14ac:dyDescent="0.35">
      <c r="A9" s="111">
        <v>1</v>
      </c>
      <c r="B9" s="12">
        <v>1</v>
      </c>
      <c r="C9" s="65">
        <f>$D$4</f>
        <v>545.4</v>
      </c>
      <c r="D9" s="12">
        <v>0</v>
      </c>
      <c r="E9" s="12">
        <f>C9*$D$5/4</f>
        <v>8.1809999999999992</v>
      </c>
    </row>
    <row r="10" spans="1:7" x14ac:dyDescent="0.35">
      <c r="A10" s="111"/>
      <c r="B10" s="12">
        <v>2</v>
      </c>
      <c r="C10" s="65">
        <f>$D$4</f>
        <v>545.4</v>
      </c>
      <c r="D10" s="12">
        <v>0</v>
      </c>
      <c r="E10" s="12">
        <f t="shared" ref="E10:E36" si="0">C10*$D$5/4</f>
        <v>8.1809999999999992</v>
      </c>
      <c r="G10" s="68"/>
    </row>
    <row r="11" spans="1:7" x14ac:dyDescent="0.35">
      <c r="A11" s="111"/>
      <c r="B11" s="12">
        <v>3</v>
      </c>
      <c r="C11" s="65">
        <f>$D$4</f>
        <v>545.4</v>
      </c>
      <c r="D11" s="12">
        <v>20.977</v>
      </c>
      <c r="E11" s="12">
        <f t="shared" si="0"/>
        <v>8.1809999999999992</v>
      </c>
    </row>
    <row r="12" spans="1:7" x14ac:dyDescent="0.35">
      <c r="A12" s="111"/>
      <c r="B12" s="12">
        <v>4</v>
      </c>
      <c r="C12" s="12">
        <f t="shared" ref="C12:C17" si="1">C11-D11</f>
        <v>524.423</v>
      </c>
      <c r="D12" s="12">
        <f>D11</f>
        <v>20.977</v>
      </c>
      <c r="E12" s="12">
        <f t="shared" si="0"/>
        <v>7.8663449999999999</v>
      </c>
    </row>
    <row r="13" spans="1:7" x14ac:dyDescent="0.35">
      <c r="A13" s="111">
        <v>2</v>
      </c>
      <c r="B13" s="12">
        <v>1</v>
      </c>
      <c r="C13" s="12">
        <f t="shared" si="1"/>
        <v>503.44600000000003</v>
      </c>
      <c r="D13" s="12">
        <f t="shared" ref="D13:D35" si="2">D12</f>
        <v>20.977</v>
      </c>
      <c r="E13" s="12">
        <f t="shared" si="0"/>
        <v>7.5516899999999998</v>
      </c>
    </row>
    <row r="14" spans="1:7" x14ac:dyDescent="0.35">
      <c r="A14" s="111"/>
      <c r="B14" s="12">
        <v>2</v>
      </c>
      <c r="C14" s="12">
        <f t="shared" si="1"/>
        <v>482.46900000000005</v>
      </c>
      <c r="D14" s="12">
        <f t="shared" si="2"/>
        <v>20.977</v>
      </c>
      <c r="E14" s="12">
        <f t="shared" si="0"/>
        <v>7.2370350000000006</v>
      </c>
    </row>
    <row r="15" spans="1:7" x14ac:dyDescent="0.35">
      <c r="A15" s="111"/>
      <c r="B15" s="12">
        <v>3</v>
      </c>
      <c r="C15" s="12">
        <f t="shared" si="1"/>
        <v>461.49200000000008</v>
      </c>
      <c r="D15" s="12">
        <f t="shared" si="2"/>
        <v>20.977</v>
      </c>
      <c r="E15" s="12">
        <f t="shared" si="0"/>
        <v>6.9223800000000013</v>
      </c>
    </row>
    <row r="16" spans="1:7" x14ac:dyDescent="0.35">
      <c r="A16" s="111"/>
      <c r="B16" s="12">
        <v>4</v>
      </c>
      <c r="C16" s="12">
        <f t="shared" si="1"/>
        <v>440.5150000000001</v>
      </c>
      <c r="D16" s="12">
        <f t="shared" si="2"/>
        <v>20.977</v>
      </c>
      <c r="E16" s="12">
        <f t="shared" si="0"/>
        <v>6.6077250000000012</v>
      </c>
    </row>
    <row r="17" spans="1:5" x14ac:dyDescent="0.35">
      <c r="A17" s="111">
        <v>3</v>
      </c>
      <c r="B17" s="12">
        <v>1</v>
      </c>
      <c r="C17" s="12">
        <f t="shared" si="1"/>
        <v>419.53800000000012</v>
      </c>
      <c r="D17" s="12">
        <f t="shared" si="2"/>
        <v>20.977</v>
      </c>
      <c r="E17" s="12">
        <f t="shared" si="0"/>
        <v>6.2930700000000019</v>
      </c>
    </row>
    <row r="18" spans="1:5" x14ac:dyDescent="0.35">
      <c r="A18" s="111"/>
      <c r="B18" s="12">
        <v>2</v>
      </c>
      <c r="C18" s="12">
        <f t="shared" ref="C18:C36" si="3">C17-D17</f>
        <v>398.56100000000015</v>
      </c>
      <c r="D18" s="12">
        <f t="shared" si="2"/>
        <v>20.977</v>
      </c>
      <c r="E18" s="12">
        <f t="shared" si="0"/>
        <v>5.9784150000000018</v>
      </c>
    </row>
    <row r="19" spans="1:5" x14ac:dyDescent="0.35">
      <c r="A19" s="111"/>
      <c r="B19" s="12">
        <v>3</v>
      </c>
      <c r="C19" s="12">
        <f t="shared" si="3"/>
        <v>377.58400000000017</v>
      </c>
      <c r="D19" s="12">
        <f t="shared" si="2"/>
        <v>20.977</v>
      </c>
      <c r="E19" s="12">
        <f t="shared" si="0"/>
        <v>5.6637600000000026</v>
      </c>
    </row>
    <row r="20" spans="1:5" x14ac:dyDescent="0.35">
      <c r="A20" s="111"/>
      <c r="B20" s="12">
        <v>4</v>
      </c>
      <c r="C20" s="12">
        <f t="shared" si="3"/>
        <v>356.6070000000002</v>
      </c>
      <c r="D20" s="12">
        <f t="shared" si="2"/>
        <v>20.977</v>
      </c>
      <c r="E20" s="12">
        <f t="shared" si="0"/>
        <v>5.3491050000000024</v>
      </c>
    </row>
    <row r="21" spans="1:5" x14ac:dyDescent="0.35">
      <c r="A21" s="111">
        <v>4</v>
      </c>
      <c r="B21" s="12">
        <v>1</v>
      </c>
      <c r="C21" s="12">
        <f t="shared" si="3"/>
        <v>335.63000000000022</v>
      </c>
      <c r="D21" s="12">
        <f t="shared" si="2"/>
        <v>20.977</v>
      </c>
      <c r="E21" s="12">
        <f t="shared" si="0"/>
        <v>5.0344500000000032</v>
      </c>
    </row>
    <row r="22" spans="1:5" x14ac:dyDescent="0.35">
      <c r="A22" s="111"/>
      <c r="B22" s="12">
        <v>2</v>
      </c>
      <c r="C22" s="12">
        <f t="shared" si="3"/>
        <v>314.65300000000025</v>
      </c>
      <c r="D22" s="12">
        <f t="shared" si="2"/>
        <v>20.977</v>
      </c>
      <c r="E22" s="12">
        <f t="shared" si="0"/>
        <v>4.719795000000004</v>
      </c>
    </row>
    <row r="23" spans="1:5" x14ac:dyDescent="0.35">
      <c r="A23" s="111"/>
      <c r="B23" s="12">
        <v>3</v>
      </c>
      <c r="C23" s="12">
        <f t="shared" si="3"/>
        <v>293.67600000000027</v>
      </c>
      <c r="D23" s="12">
        <f t="shared" si="2"/>
        <v>20.977</v>
      </c>
      <c r="E23" s="12">
        <f t="shared" si="0"/>
        <v>4.4051400000000038</v>
      </c>
    </row>
    <row r="24" spans="1:5" x14ac:dyDescent="0.35">
      <c r="A24" s="111"/>
      <c r="B24" s="12">
        <v>4</v>
      </c>
      <c r="C24" s="12">
        <f t="shared" si="3"/>
        <v>272.6990000000003</v>
      </c>
      <c r="D24" s="12">
        <f t="shared" si="2"/>
        <v>20.977</v>
      </c>
      <c r="E24" s="12">
        <f t="shared" si="0"/>
        <v>4.0904850000000046</v>
      </c>
    </row>
    <row r="25" spans="1:5" x14ac:dyDescent="0.35">
      <c r="A25" s="111">
        <v>5</v>
      </c>
      <c r="B25" s="12">
        <v>1</v>
      </c>
      <c r="C25" s="12">
        <f t="shared" si="3"/>
        <v>251.72200000000029</v>
      </c>
      <c r="D25" s="12">
        <f t="shared" si="2"/>
        <v>20.977</v>
      </c>
      <c r="E25" s="12">
        <f t="shared" si="0"/>
        <v>3.7758300000000045</v>
      </c>
    </row>
    <row r="26" spans="1:5" x14ac:dyDescent="0.35">
      <c r="A26" s="111"/>
      <c r="B26" s="12">
        <v>2</v>
      </c>
      <c r="C26" s="12">
        <f t="shared" si="3"/>
        <v>230.74500000000029</v>
      </c>
      <c r="D26" s="12">
        <f t="shared" si="2"/>
        <v>20.977</v>
      </c>
      <c r="E26" s="12">
        <f t="shared" si="0"/>
        <v>3.4611750000000043</v>
      </c>
    </row>
    <row r="27" spans="1:5" x14ac:dyDescent="0.35">
      <c r="A27" s="111"/>
      <c r="B27" s="12">
        <v>3</v>
      </c>
      <c r="C27" s="12">
        <f t="shared" si="3"/>
        <v>209.76800000000028</v>
      </c>
      <c r="D27" s="12">
        <f t="shared" si="2"/>
        <v>20.977</v>
      </c>
      <c r="E27" s="12">
        <f t="shared" si="0"/>
        <v>3.1465200000000042</v>
      </c>
    </row>
    <row r="28" spans="1:5" x14ac:dyDescent="0.35">
      <c r="A28" s="111"/>
      <c r="B28" s="12">
        <v>4</v>
      </c>
      <c r="C28" s="12">
        <f t="shared" si="3"/>
        <v>188.79100000000028</v>
      </c>
      <c r="D28" s="12">
        <f t="shared" si="2"/>
        <v>20.977</v>
      </c>
      <c r="E28" s="12">
        <f t="shared" si="0"/>
        <v>2.8318650000000041</v>
      </c>
    </row>
    <row r="29" spans="1:5" x14ac:dyDescent="0.35">
      <c r="A29" s="111">
        <v>6</v>
      </c>
      <c r="B29" s="12">
        <v>1</v>
      </c>
      <c r="C29" s="12">
        <f t="shared" si="3"/>
        <v>167.81400000000028</v>
      </c>
      <c r="D29" s="12">
        <f t="shared" si="2"/>
        <v>20.977</v>
      </c>
      <c r="E29" s="12">
        <f t="shared" si="0"/>
        <v>2.5172100000000039</v>
      </c>
    </row>
    <row r="30" spans="1:5" x14ac:dyDescent="0.35">
      <c r="A30" s="111"/>
      <c r="B30" s="12">
        <v>2</v>
      </c>
      <c r="C30" s="12">
        <f t="shared" si="3"/>
        <v>146.83700000000027</v>
      </c>
      <c r="D30" s="12">
        <f t="shared" si="2"/>
        <v>20.977</v>
      </c>
      <c r="E30" s="12">
        <f t="shared" si="0"/>
        <v>2.2025550000000038</v>
      </c>
    </row>
    <row r="31" spans="1:5" x14ac:dyDescent="0.35">
      <c r="A31" s="111"/>
      <c r="B31" s="12">
        <v>3</v>
      </c>
      <c r="C31" s="12">
        <f t="shared" si="3"/>
        <v>125.86000000000027</v>
      </c>
      <c r="D31" s="12">
        <f t="shared" si="2"/>
        <v>20.977</v>
      </c>
      <c r="E31" s="12">
        <f t="shared" si="0"/>
        <v>1.8879000000000039</v>
      </c>
    </row>
    <row r="32" spans="1:5" x14ac:dyDescent="0.35">
      <c r="A32" s="111"/>
      <c r="B32" s="12">
        <v>4</v>
      </c>
      <c r="C32" s="12">
        <f t="shared" si="3"/>
        <v>104.88300000000027</v>
      </c>
      <c r="D32" s="12">
        <f t="shared" si="2"/>
        <v>20.977</v>
      </c>
      <c r="E32" s="12">
        <f t="shared" si="0"/>
        <v>1.573245000000004</v>
      </c>
    </row>
    <row r="33" spans="1:5" x14ac:dyDescent="0.35">
      <c r="A33" s="111">
        <v>7</v>
      </c>
      <c r="B33" s="12">
        <v>1</v>
      </c>
      <c r="C33" s="12">
        <f t="shared" si="3"/>
        <v>83.906000000000262</v>
      </c>
      <c r="D33" s="12">
        <f t="shared" si="2"/>
        <v>20.977</v>
      </c>
      <c r="E33" s="12">
        <f t="shared" si="0"/>
        <v>1.2585900000000039</v>
      </c>
    </row>
    <row r="34" spans="1:5" x14ac:dyDescent="0.35">
      <c r="A34" s="111"/>
      <c r="B34" s="12">
        <v>2</v>
      </c>
      <c r="C34" s="12">
        <f t="shared" si="3"/>
        <v>62.929000000000258</v>
      </c>
      <c r="D34" s="12">
        <f t="shared" si="2"/>
        <v>20.977</v>
      </c>
      <c r="E34" s="12">
        <f t="shared" si="0"/>
        <v>0.94393500000000385</v>
      </c>
    </row>
    <row r="35" spans="1:5" x14ac:dyDescent="0.35">
      <c r="A35" s="111"/>
      <c r="B35" s="12">
        <v>3</v>
      </c>
      <c r="C35" s="12">
        <f t="shared" si="3"/>
        <v>41.952000000000254</v>
      </c>
      <c r="D35" s="12">
        <f t="shared" si="2"/>
        <v>20.977</v>
      </c>
      <c r="E35" s="12">
        <f t="shared" si="0"/>
        <v>0.62928000000000384</v>
      </c>
    </row>
    <row r="36" spans="1:5" x14ac:dyDescent="0.35">
      <c r="A36" s="111"/>
      <c r="B36" s="12">
        <v>4</v>
      </c>
      <c r="C36" s="12">
        <f t="shared" si="3"/>
        <v>20.975000000000254</v>
      </c>
      <c r="D36" s="65">
        <f>D4-SUM(D9:D35)</f>
        <v>20.97500000000025</v>
      </c>
      <c r="E36" s="12">
        <f t="shared" si="0"/>
        <v>0.31462500000000382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14"/>
  <sheetViews>
    <sheetView workbookViewId="0">
      <selection activeCell="C13" sqref="C13"/>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170</v>
      </c>
    </row>
    <row r="2" spans="1:10" x14ac:dyDescent="0.35">
      <c r="B2" s="110" t="s">
        <v>48</v>
      </c>
      <c r="C2" s="110"/>
      <c r="D2" s="110"/>
      <c r="E2" s="110"/>
      <c r="F2" s="110"/>
      <c r="G2" s="110"/>
      <c r="H2" s="110"/>
      <c r="I2" s="110"/>
      <c r="J2" s="110"/>
    </row>
    <row r="3" spans="1:10" x14ac:dyDescent="0.35">
      <c r="A3" s="12"/>
      <c r="B3" s="12" t="s">
        <v>39</v>
      </c>
      <c r="C3" s="12" t="s">
        <v>40</v>
      </c>
      <c r="D3" s="12" t="s">
        <v>41</v>
      </c>
      <c r="E3" s="12" t="s">
        <v>42</v>
      </c>
      <c r="F3" s="12" t="s">
        <v>43</v>
      </c>
      <c r="G3" s="12" t="s">
        <v>44</v>
      </c>
      <c r="H3" s="12" t="s">
        <v>45</v>
      </c>
      <c r="I3" s="12" t="s">
        <v>46</v>
      </c>
      <c r="J3" s="12" t="s">
        <v>47</v>
      </c>
    </row>
    <row r="4" spans="1:10" x14ac:dyDescent="0.35">
      <c r="A4" s="12" t="s">
        <v>264</v>
      </c>
      <c r="B4" s="73">
        <v>0.7</v>
      </c>
      <c r="C4" s="73">
        <v>0.75</v>
      </c>
      <c r="D4" s="73">
        <v>0.8</v>
      </c>
      <c r="E4" s="73">
        <v>0.85</v>
      </c>
      <c r="F4" s="73">
        <v>0.9</v>
      </c>
      <c r="G4" s="73">
        <v>0.95</v>
      </c>
      <c r="H4" s="73">
        <v>1</v>
      </c>
      <c r="I4" s="73">
        <v>1</v>
      </c>
      <c r="J4" s="73">
        <v>1</v>
      </c>
    </row>
    <row r="5" spans="1:10" x14ac:dyDescent="0.35">
      <c r="A5" s="12" t="s">
        <v>171</v>
      </c>
      <c r="B5" s="30">
        <f>$B$14*B4</f>
        <v>3500000</v>
      </c>
      <c r="C5" s="30">
        <f t="shared" ref="C5:J5" si="0">$B$14*C4</f>
        <v>3750000</v>
      </c>
      <c r="D5" s="30">
        <f t="shared" si="0"/>
        <v>4000000</v>
      </c>
      <c r="E5" s="30">
        <f t="shared" si="0"/>
        <v>4250000</v>
      </c>
      <c r="F5" s="30">
        <f t="shared" si="0"/>
        <v>4500000</v>
      </c>
      <c r="G5" s="30">
        <f t="shared" si="0"/>
        <v>4750000</v>
      </c>
      <c r="H5" s="30">
        <f t="shared" si="0"/>
        <v>5000000</v>
      </c>
      <c r="I5" s="30">
        <f t="shared" si="0"/>
        <v>5000000</v>
      </c>
      <c r="J5" s="30">
        <f t="shared" si="0"/>
        <v>5000000</v>
      </c>
    </row>
    <row r="6" spans="1:10" x14ac:dyDescent="0.35">
      <c r="A6" s="12" t="s">
        <v>50</v>
      </c>
      <c r="B6" s="54">
        <f>$B$10*12*$C$14</f>
        <v>90000000</v>
      </c>
      <c r="C6" s="54">
        <f>B6*1.02</f>
        <v>91800000</v>
      </c>
      <c r="D6" s="54">
        <f t="shared" ref="D6:J6" si="1">C6*1.02</f>
        <v>93636000</v>
      </c>
      <c r="E6" s="54">
        <f t="shared" si="1"/>
        <v>95508720</v>
      </c>
      <c r="F6" s="54">
        <f t="shared" si="1"/>
        <v>97418894.400000006</v>
      </c>
      <c r="G6" s="54">
        <f t="shared" si="1"/>
        <v>99367272.288000003</v>
      </c>
      <c r="H6" s="54">
        <f t="shared" si="1"/>
        <v>101354617.73376</v>
      </c>
      <c r="I6" s="54">
        <f t="shared" si="1"/>
        <v>103381710.0884352</v>
      </c>
      <c r="J6" s="54">
        <f t="shared" si="1"/>
        <v>105449344.29020391</v>
      </c>
    </row>
    <row r="7" spans="1:10" x14ac:dyDescent="0.35">
      <c r="B7" s="2"/>
      <c r="C7" s="2"/>
      <c r="D7" s="2"/>
      <c r="E7" s="2"/>
      <c r="F7" s="2"/>
      <c r="G7" s="2"/>
      <c r="H7" s="2"/>
      <c r="I7" s="2"/>
      <c r="J7" s="2"/>
    </row>
    <row r="8" spans="1:10" x14ac:dyDescent="0.35">
      <c r="A8" s="22" t="s">
        <v>172</v>
      </c>
    </row>
    <row r="10" spans="1:10" x14ac:dyDescent="0.35">
      <c r="A10" t="s">
        <v>263</v>
      </c>
      <c r="B10" s="15">
        <f>5000*1000</f>
        <v>5000000</v>
      </c>
    </row>
    <row r="11" spans="1:10" x14ac:dyDescent="0.35">
      <c r="A11" t="s">
        <v>265</v>
      </c>
      <c r="B11" s="15" t="s">
        <v>266</v>
      </c>
    </row>
    <row r="13" spans="1:10" s="71" customFormat="1" ht="29" x14ac:dyDescent="0.35">
      <c r="A13" s="69" t="s">
        <v>173</v>
      </c>
      <c r="B13" s="70" t="s">
        <v>174</v>
      </c>
      <c r="C13" s="70" t="s">
        <v>267</v>
      </c>
    </row>
    <row r="14" spans="1:10" s="71" customFormat="1" x14ac:dyDescent="0.35">
      <c r="A14" s="69" t="s">
        <v>175</v>
      </c>
      <c r="B14" s="74">
        <f>B10</f>
        <v>5000000</v>
      </c>
      <c r="C14" s="75">
        <v>1.5</v>
      </c>
      <c r="D14" s="72"/>
    </row>
  </sheetData>
  <mergeCells count="1">
    <mergeCell ref="B2:J2"/>
  </mergeCells>
  <pageMargins left="0.7" right="0.7" top="0.75" bottom="0.75" header="0.3" footer="0.3"/>
  <pageSetup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topLeftCell="A9" workbookViewId="0">
      <selection activeCell="A18" sqref="A18"/>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81" t="s">
        <v>184</v>
      </c>
      <c r="B1" s="81"/>
    </row>
    <row r="2" spans="1:11" x14ac:dyDescent="0.35">
      <c r="A2" s="81"/>
      <c r="B2" s="81"/>
    </row>
    <row r="3" spans="1:11" x14ac:dyDescent="0.35">
      <c r="A3" s="82" t="s">
        <v>3</v>
      </c>
      <c r="B3" s="82">
        <v>0</v>
      </c>
      <c r="C3" s="82" t="s">
        <v>39</v>
      </c>
      <c r="D3" s="82" t="s">
        <v>40</v>
      </c>
      <c r="E3" s="82" t="s">
        <v>41</v>
      </c>
      <c r="F3" s="82" t="s">
        <v>42</v>
      </c>
      <c r="G3" s="82" t="s">
        <v>43</v>
      </c>
      <c r="H3" s="82" t="s">
        <v>44</v>
      </c>
      <c r="I3" s="82" t="s">
        <v>45</v>
      </c>
      <c r="J3" s="82" t="s">
        <v>46</v>
      </c>
      <c r="K3" s="82" t="s">
        <v>47</v>
      </c>
    </row>
    <row r="4" spans="1:11" x14ac:dyDescent="0.35">
      <c r="A4" s="83" t="s">
        <v>163</v>
      </c>
      <c r="B4" s="84">
        <f>'Ann 2'!C7*100000</f>
        <v>0</v>
      </c>
      <c r="C4" s="84">
        <f>B20</f>
        <v>0</v>
      </c>
      <c r="D4" s="84">
        <f>C20</f>
        <v>18771851.106818173</v>
      </c>
      <c r="E4" s="84">
        <f t="shared" ref="E4:K4" si="0">D20</f>
        <v>38214983.256818168</v>
      </c>
      <c r="F4" s="84">
        <f t="shared" si="0"/>
        <v>57712977.445363611</v>
      </c>
      <c r="G4" s="84">
        <f t="shared" si="0"/>
        <v>77324543.668243587</v>
      </c>
      <c r="H4" s="84">
        <f t="shared" si="0"/>
        <v>97099858.690134272</v>
      </c>
      <c r="I4" s="84">
        <f t="shared" si="0"/>
        <v>117081592.96028456</v>
      </c>
      <c r="J4" s="84">
        <f t="shared" si="0"/>
        <v>137305984.19143867</v>
      </c>
      <c r="K4" s="84">
        <f t="shared" si="0"/>
        <v>166219427.53308013</v>
      </c>
    </row>
    <row r="5" spans="1:11" x14ac:dyDescent="0.35">
      <c r="A5" s="83" t="s">
        <v>208</v>
      </c>
      <c r="B5" s="84">
        <f>'Ann 5'!C17</f>
        <v>6060000</v>
      </c>
      <c r="C5" s="84">
        <v>0</v>
      </c>
      <c r="D5" s="84">
        <v>0</v>
      </c>
      <c r="E5" s="84">
        <v>0</v>
      </c>
      <c r="F5" s="84">
        <v>0</v>
      </c>
      <c r="G5" s="84">
        <v>0</v>
      </c>
      <c r="H5" s="84">
        <v>0</v>
      </c>
      <c r="I5" s="84">
        <v>0</v>
      </c>
      <c r="J5" s="84">
        <v>0</v>
      </c>
      <c r="K5" s="84">
        <v>0</v>
      </c>
    </row>
    <row r="6" spans="1:11" x14ac:dyDescent="0.35">
      <c r="A6" s="83" t="s">
        <v>209</v>
      </c>
      <c r="B6" s="84">
        <f>'Ann 2'!C6*100000</f>
        <v>54540000</v>
      </c>
      <c r="C6" s="84">
        <v>0</v>
      </c>
      <c r="D6" s="84">
        <v>0</v>
      </c>
      <c r="E6" s="84">
        <v>0</v>
      </c>
      <c r="F6" s="84">
        <v>0</v>
      </c>
      <c r="G6" s="84">
        <v>0</v>
      </c>
      <c r="H6" s="84">
        <v>0</v>
      </c>
      <c r="I6" s="84">
        <v>0</v>
      </c>
      <c r="J6" s="84">
        <v>0</v>
      </c>
      <c r="K6" s="84">
        <v>0</v>
      </c>
    </row>
    <row r="7" spans="1:11" x14ac:dyDescent="0.35">
      <c r="A7" s="83" t="s">
        <v>210</v>
      </c>
      <c r="B7" s="84">
        <f>'Ann 9'!F6*100000</f>
        <v>59200000</v>
      </c>
      <c r="C7" s="84">
        <v>0</v>
      </c>
      <c r="D7" s="84">
        <v>0</v>
      </c>
      <c r="E7" s="84">
        <v>0</v>
      </c>
      <c r="F7" s="84">
        <v>0</v>
      </c>
      <c r="G7" s="84">
        <v>0</v>
      </c>
      <c r="H7" s="84">
        <v>0</v>
      </c>
      <c r="I7" s="84">
        <v>0</v>
      </c>
      <c r="J7" s="84">
        <v>0</v>
      </c>
      <c r="K7" s="84">
        <v>0</v>
      </c>
    </row>
    <row r="8" spans="1:11" x14ac:dyDescent="0.35">
      <c r="A8" s="83" t="s">
        <v>164</v>
      </c>
      <c r="B8" s="84"/>
      <c r="C8" s="84">
        <f>'Ann 4'!C17-'Ann 5'!C12</f>
        <v>81818181.818181813</v>
      </c>
      <c r="D8" s="84">
        <f>'Ann 4'!D17-'Ann 5'!D12</f>
        <v>83454545.454545453</v>
      </c>
      <c r="E8" s="84">
        <f>'Ann 4'!E17-'Ann 5'!E12</f>
        <v>85123636.36363636</v>
      </c>
      <c r="F8" s="84">
        <f>'Ann 4'!F17-'Ann 5'!F12</f>
        <v>86826109.090909094</v>
      </c>
      <c r="G8" s="84">
        <f>'Ann 4'!G17-'Ann 5'!G12</f>
        <v>88562631.272727281</v>
      </c>
      <c r="H8" s="84">
        <f>'Ann 4'!H17-'Ann 5'!H12</f>
        <v>90333883.898181826</v>
      </c>
      <c r="I8" s="84">
        <f>'Ann 4'!I17-'Ann 5'!I12</f>
        <v>92140561.576145455</v>
      </c>
      <c r="J8" s="84">
        <f>'Ann 4'!J17-'Ann 5'!J12</f>
        <v>93983372.807668358</v>
      </c>
      <c r="K8" s="84">
        <f>'Ann 4'!K17-'Ann 5'!K12</f>
        <v>95863040.263821736</v>
      </c>
    </row>
    <row r="9" spans="1:11" x14ac:dyDescent="0.35">
      <c r="A9" s="83" t="s">
        <v>185</v>
      </c>
      <c r="B9" s="84">
        <v>0</v>
      </c>
      <c r="C9" s="84">
        <v>0</v>
      </c>
      <c r="D9" s="84">
        <f>'Ann 5'!C23</f>
        <v>2496436.3636363638</v>
      </c>
      <c r="E9" s="84">
        <f>'Ann 5'!D23</f>
        <v>2589368.7272727271</v>
      </c>
      <c r="F9" s="84">
        <f>'Ann 5'!E23</f>
        <v>2687169.9927272727</v>
      </c>
      <c r="G9" s="84">
        <f>'Ann 5'!F23</f>
        <v>2790148.2558545456</v>
      </c>
      <c r="H9" s="84">
        <f>'Ann 5'!G23</f>
        <v>2898632.5246734549</v>
      </c>
      <c r="I9" s="84">
        <f>'Ann 5'!H23</f>
        <v>3012974.1701278696</v>
      </c>
      <c r="J9" s="84">
        <f>'Ann 5'!I23</f>
        <v>3133548.4781386387</v>
      </c>
      <c r="K9" s="84">
        <f>'Ann 5'!J23</f>
        <v>3260756.3100321977</v>
      </c>
    </row>
    <row r="10" spans="1:11" x14ac:dyDescent="0.35">
      <c r="A10" s="83" t="s">
        <v>186</v>
      </c>
      <c r="B10" s="84">
        <v>0</v>
      </c>
      <c r="C10" s="84">
        <v>0</v>
      </c>
      <c r="D10" s="84">
        <f>'Ann 5'!C12</f>
        <v>8181818.1818181816</v>
      </c>
      <c r="E10" s="84">
        <f>'Ann 5'!D12</f>
        <v>8345454.5454545459</v>
      </c>
      <c r="F10" s="84">
        <f>'Ann 5'!E12</f>
        <v>8512363.6363636367</v>
      </c>
      <c r="G10" s="84">
        <f>'Ann 5'!F12</f>
        <v>8682610.9090909082</v>
      </c>
      <c r="H10" s="84">
        <f>'Ann 5'!G12</f>
        <v>8856263.127272727</v>
      </c>
      <c r="I10" s="84">
        <f>'Ann 5'!H12</f>
        <v>9033388.3898181822</v>
      </c>
      <c r="J10" s="84">
        <f>'Ann 5'!I12</f>
        <v>9214056.1576145459</v>
      </c>
      <c r="K10" s="84">
        <f>'Ann 5'!J12</f>
        <v>9398337.2807668373</v>
      </c>
    </row>
    <row r="11" spans="1:11" x14ac:dyDescent="0.35">
      <c r="A11" s="83" t="s">
        <v>187</v>
      </c>
      <c r="B11" s="84">
        <v>0</v>
      </c>
      <c r="C11" s="84">
        <f>'Ann 4'!C10+'Ann 4'!C14-'Ann 5'!C23</f>
        <v>17267963.636363637</v>
      </c>
      <c r="D11" s="84">
        <f>'Ann 4'!D10+'Ann 4'!D14-'Ann 5'!D23</f>
        <v>17952859.272727273</v>
      </c>
      <c r="E11" s="84">
        <f>'Ann 4'!E10+'Ann 4'!E14-'Ann 5'!E23</f>
        <v>18672999.967272729</v>
      </c>
      <c r="F11" s="84">
        <f>'Ann 4'!F10+'Ann 4'!F14-'Ann 5'!F23</f>
        <v>19430438.901345454</v>
      </c>
      <c r="G11" s="84">
        <f>'Ann 4'!G10+'Ann 4'!G14-'Ann 5'!G23</f>
        <v>20227356.698530551</v>
      </c>
      <c r="H11" s="84">
        <f>'Ann 4'!H10+'Ann 4'!H14-'Ann 5'!H23</f>
        <v>21066069.619950417</v>
      </c>
      <c r="I11" s="84">
        <f>'Ann 4'!I10+'Ann 4'!I14-'Ann 5'!I23</f>
        <v>21949038.298717625</v>
      </c>
      <c r="J11" s="84">
        <f>'Ann 4'!J10+'Ann 4'!J14-'Ann 5'!J23</f>
        <v>22616218.304030832</v>
      </c>
      <c r="K11" s="84">
        <f>'Ann 4'!K10+'Ann 4'!K14-'Ann 5'!K23</f>
        <v>23319913.363938261</v>
      </c>
    </row>
    <row r="12" spans="1:11" x14ac:dyDescent="0.35">
      <c r="A12" s="83" t="s">
        <v>268</v>
      </c>
      <c r="B12" s="84">
        <f>'Ann 1'!C27*100000</f>
        <v>1400000</v>
      </c>
      <c r="C12" s="84"/>
      <c r="D12" s="84"/>
      <c r="E12" s="84"/>
      <c r="F12" s="84"/>
      <c r="G12" s="84"/>
      <c r="H12" s="84"/>
      <c r="I12" s="84"/>
      <c r="J12" s="84"/>
      <c r="K12" s="84"/>
    </row>
    <row r="13" spans="1:11" x14ac:dyDescent="0.35">
      <c r="A13" s="83" t="s">
        <v>165</v>
      </c>
      <c r="B13" s="84">
        <v>0</v>
      </c>
      <c r="C13" s="84">
        <f>'Ann 4'!C23</f>
        <v>3240934.5</v>
      </c>
      <c r="D13" s="84">
        <f>'Ann 4'!D23</f>
        <v>2831883</v>
      </c>
      <c r="E13" s="84">
        <f>'Ann 4'!E23</f>
        <v>2328435.0000000009</v>
      </c>
      <c r="F13" s="84">
        <f>'Ann 4'!F23</f>
        <v>1824987.0000000016</v>
      </c>
      <c r="G13" s="84">
        <f>'Ann 4'!G23</f>
        <v>1321539.0000000016</v>
      </c>
      <c r="H13" s="84">
        <f>'Ann 4'!H23</f>
        <v>818091.00000000151</v>
      </c>
      <c r="I13" s="84">
        <f>'Ann 4'!I23</f>
        <v>314643.00000000157</v>
      </c>
      <c r="J13" s="84">
        <f>'Ann 4'!J23</f>
        <v>0</v>
      </c>
      <c r="K13" s="84">
        <f>'Ann 4'!K23</f>
        <v>0</v>
      </c>
    </row>
    <row r="14" spans="1:11" x14ac:dyDescent="0.35">
      <c r="A14" s="83"/>
      <c r="B14" s="84">
        <v>0</v>
      </c>
      <c r="C14" s="84">
        <f>C4+C8-C9+C10-C11-C13+C5+C6-C7</f>
        <v>61309283.681818172</v>
      </c>
      <c r="D14" s="84">
        <f>D4+D8-D9+D10-D11-D13+D5+D6-D7</f>
        <v>87127036.106818169</v>
      </c>
      <c r="E14" s="84">
        <f>E4+E8-E9+E10-E11-E13+E5+E6-E7</f>
        <v>108093270.4713636</v>
      </c>
      <c r="F14" s="84">
        <f t="shared" ref="F14:K14" si="1">F4+F8-F9+F10-F11-F13+F5+F6-F7</f>
        <v>129108854.27856359</v>
      </c>
      <c r="G14" s="84">
        <f t="shared" si="1"/>
        <v>150230741.89567667</v>
      </c>
      <c r="H14" s="84">
        <f t="shared" si="1"/>
        <v>171507212.57096493</v>
      </c>
      <c r="I14" s="84">
        <f t="shared" si="1"/>
        <v>192978887.45740271</v>
      </c>
      <c r="J14" s="84">
        <f t="shared" si="1"/>
        <v>214753646.37455213</v>
      </c>
      <c r="K14" s="84">
        <f t="shared" si="1"/>
        <v>244900135.40369827</v>
      </c>
    </row>
    <row r="15" spans="1:11" x14ac:dyDescent="0.35">
      <c r="A15" s="83" t="s">
        <v>189</v>
      </c>
      <c r="B15" s="84">
        <v>0</v>
      </c>
      <c r="C15" s="84">
        <f>'Ann 4'!C29</f>
        <v>18019399.649999999</v>
      </c>
      <c r="D15" s="84">
        <f>'Ann 4'!D29</f>
        <v>18702116.699999999</v>
      </c>
      <c r="E15" s="84">
        <f>'Ann 4'!E29</f>
        <v>19379766.011999998</v>
      </c>
      <c r="F15" s="84">
        <f>'Ann 4'!F29</f>
        <v>20027774.127839997</v>
      </c>
      <c r="G15" s="84">
        <f>'Ann 4'!G29</f>
        <v>20649269.171788801</v>
      </c>
      <c r="H15" s="84">
        <f>'Ann 4'!H29</f>
        <v>21246839.820314016</v>
      </c>
      <c r="I15" s="84">
        <f>'Ann 4'!I29</f>
        <v>21822601.507367991</v>
      </c>
      <c r="J15" s="84">
        <f>'Ann 4'!J29</f>
        <v>22400408.696063995</v>
      </c>
      <c r="K15" s="84">
        <f>'Ann 4'!K29</f>
        <v>22868980.991241153</v>
      </c>
    </row>
    <row r="16" spans="1:11" x14ac:dyDescent="0.35">
      <c r="A16" s="83"/>
      <c r="B16" s="84">
        <v>0</v>
      </c>
      <c r="C16" s="84">
        <f>C14-C15</f>
        <v>43289884.031818174</v>
      </c>
      <c r="D16" s="84">
        <f t="shared" ref="D16:K16" si="2">D14-D15</f>
        <v>68424919.406818166</v>
      </c>
      <c r="E16" s="84">
        <f t="shared" si="2"/>
        <v>88713504.45936361</v>
      </c>
      <c r="F16" s="84">
        <f t="shared" si="2"/>
        <v>109081080.15072359</v>
      </c>
      <c r="G16" s="84">
        <f t="shared" si="2"/>
        <v>129581472.72388788</v>
      </c>
      <c r="H16" s="84">
        <f t="shared" si="2"/>
        <v>150260372.75065091</v>
      </c>
      <c r="I16" s="84">
        <f t="shared" si="2"/>
        <v>171156285.95003471</v>
      </c>
      <c r="J16" s="84">
        <f t="shared" si="2"/>
        <v>192353237.67848814</v>
      </c>
      <c r="K16" s="84">
        <f t="shared" si="2"/>
        <v>222031154.41245711</v>
      </c>
    </row>
    <row r="17" spans="1:12" x14ac:dyDescent="0.35">
      <c r="A17" s="83" t="s">
        <v>188</v>
      </c>
      <c r="B17" s="84">
        <v>0</v>
      </c>
      <c r="C17" s="84">
        <f>'Ann 4'!C31</f>
        <v>20322632.925000001</v>
      </c>
      <c r="D17" s="84">
        <f>'Ann 4'!D31</f>
        <v>21819136.149999999</v>
      </c>
      <c r="E17" s="84">
        <f>'Ann 4'!E31</f>
        <v>22609727.013999999</v>
      </c>
      <c r="F17" s="84">
        <f>'Ann 4'!F31</f>
        <v>23365736.482479997</v>
      </c>
      <c r="G17" s="84">
        <f>'Ann 4'!G31</f>
        <v>24090814.033753604</v>
      </c>
      <c r="H17" s="84">
        <f>'Ann 4'!H31</f>
        <v>24787979.790366352</v>
      </c>
      <c r="I17" s="84">
        <f>'Ann 4'!I31</f>
        <v>25459701.758595992</v>
      </c>
      <c r="J17" s="84">
        <f>'Ann 4'!J31</f>
        <v>26133810.145407997</v>
      </c>
      <c r="K17" s="84">
        <f>'Ann 4'!K31</f>
        <v>26680477.823114678</v>
      </c>
    </row>
    <row r="18" spans="1:12" x14ac:dyDescent="0.35">
      <c r="A18" s="83"/>
      <c r="B18" s="84">
        <v>0</v>
      </c>
      <c r="C18" s="84">
        <f>C16-C17</f>
        <v>22967251.106818173</v>
      </c>
      <c r="D18" s="84">
        <f t="shared" ref="D18:K18" si="3">D16-D17</f>
        <v>46605783.256818168</v>
      </c>
      <c r="E18" s="84">
        <f t="shared" si="3"/>
        <v>66103777.445363611</v>
      </c>
      <c r="F18" s="84">
        <f t="shared" si="3"/>
        <v>85715343.668243587</v>
      </c>
      <c r="G18" s="84">
        <f t="shared" si="3"/>
        <v>105490658.69013427</v>
      </c>
      <c r="H18" s="84">
        <f t="shared" si="3"/>
        <v>125472392.96028456</v>
      </c>
      <c r="I18" s="84">
        <f t="shared" si="3"/>
        <v>145696584.1914387</v>
      </c>
      <c r="J18" s="84">
        <f t="shared" si="3"/>
        <v>166219427.53308013</v>
      </c>
      <c r="K18" s="84">
        <f t="shared" si="3"/>
        <v>195350676.58934242</v>
      </c>
    </row>
    <row r="19" spans="1:12" x14ac:dyDescent="0.35">
      <c r="A19" s="83" t="s">
        <v>190</v>
      </c>
      <c r="B19" s="84">
        <v>0</v>
      </c>
      <c r="C19" s="84">
        <f>SUM('Ann 13'!D9:D12)*100000</f>
        <v>4195400</v>
      </c>
      <c r="D19" s="84">
        <f>SUM('Ann 13'!D13:D16)*100000</f>
        <v>8390800</v>
      </c>
      <c r="E19" s="84">
        <f>SUM('Ann 13'!D17:D20)*100000</f>
        <v>8390800</v>
      </c>
      <c r="F19" s="84">
        <f>SUM('Ann 13'!D21:D24)*100000</f>
        <v>8390800</v>
      </c>
      <c r="G19" s="84">
        <f>SUM('Ann 13'!D25:D28)*100000</f>
        <v>8390800</v>
      </c>
      <c r="H19" s="84">
        <f>SUM('Ann 13'!D29:D32)*100000</f>
        <v>8390800</v>
      </c>
      <c r="I19" s="84">
        <f>SUM('Ann 13'!D33:D36)*100000</f>
        <v>8390600.0000000242</v>
      </c>
      <c r="J19" s="84">
        <v>0</v>
      </c>
      <c r="K19" s="84">
        <v>0</v>
      </c>
    </row>
    <row r="20" spans="1:12" x14ac:dyDescent="0.35">
      <c r="A20" s="83" t="s">
        <v>191</v>
      </c>
      <c r="B20" s="84">
        <f>B4+B5+B6-B7-B12</f>
        <v>0</v>
      </c>
      <c r="C20" s="84">
        <f>C18-C19</f>
        <v>18771851.106818173</v>
      </c>
      <c r="D20" s="84">
        <f>D18-D19</f>
        <v>38214983.256818168</v>
      </c>
      <c r="E20" s="84">
        <f>E18-E19</f>
        <v>57712977.445363611</v>
      </c>
      <c r="F20" s="84">
        <f t="shared" ref="F20:K20" si="4">F18-F19</f>
        <v>77324543.668243587</v>
      </c>
      <c r="G20" s="84">
        <f t="shared" si="4"/>
        <v>97099858.690134272</v>
      </c>
      <c r="H20" s="84">
        <f t="shared" si="4"/>
        <v>117081592.96028456</v>
      </c>
      <c r="I20" s="84">
        <f t="shared" si="4"/>
        <v>137305984.19143867</v>
      </c>
      <c r="J20" s="84">
        <f t="shared" si="4"/>
        <v>166219427.53308013</v>
      </c>
      <c r="K20" s="84">
        <f t="shared" si="4"/>
        <v>195350676.58934242</v>
      </c>
    </row>
    <row r="22" spans="1:12" x14ac:dyDescent="0.35">
      <c r="A22" s="112" t="s">
        <v>192</v>
      </c>
      <c r="B22" s="113">
        <v>0.06</v>
      </c>
      <c r="C22" s="114"/>
      <c r="D22" s="112"/>
      <c r="E22" s="112"/>
      <c r="F22" s="112"/>
      <c r="G22" s="112"/>
      <c r="H22" s="112"/>
      <c r="I22" s="112"/>
      <c r="J22" s="112"/>
      <c r="K22" s="112"/>
      <c r="L22" s="112"/>
    </row>
    <row r="23" spans="1:12" x14ac:dyDescent="0.35">
      <c r="A23" s="112" t="s">
        <v>193</v>
      </c>
      <c r="B23" s="112">
        <v>1</v>
      </c>
      <c r="C23" s="115">
        <f>1/(1+$B$22)</f>
        <v>0.94339622641509424</v>
      </c>
      <c r="D23" s="115">
        <f>1/((1+$B$22)*(1+$B$22))</f>
        <v>0.88999644001423983</v>
      </c>
      <c r="E23" s="115">
        <f>1/((1+$B$22)*(1+$B$22)*(1+$B$22))</f>
        <v>0.8396192830323016</v>
      </c>
      <c r="F23" s="115">
        <f>1/((1+$B$22)*(1+$B$22)*(1+$B$22)*(1+$B$22))</f>
        <v>0.79209366323802044</v>
      </c>
      <c r="G23" s="115">
        <f>1/((1+$B$22)*(1+$B$22)*(1+$B$22)*(1+$B$22)*(1+$B$22))</f>
        <v>0.74725817286605689</v>
      </c>
      <c r="H23" s="115">
        <f>1/((1+$B$22)*(1+$B$22)*(1+$B$22)*(1+$B$22)*(1+$B$22)*(1+$B$22))</f>
        <v>0.70496054043967626</v>
      </c>
      <c r="I23" s="115">
        <f>1/((1+$B$22)*(1+$B$22)*(1+$B$22)*(1+$B$22)*(1+$B$22)*(1+$B$22)*(1+$B$22))</f>
        <v>0.6650571136223361</v>
      </c>
      <c r="J23" s="115">
        <f>1/((1+$B$22)*(1+$B$22)*(1+$B$22)*(1+$B$22)*(1+$B$22)*(1+$B$22)*(1+$B$22)*(1+$B$22))</f>
        <v>0.62741237134182648</v>
      </c>
      <c r="K23" s="115">
        <f>1/((1+$B$22)*(1+$B$22)*(1+$B$22)*(1+$B$22)*(1+$B$22)*(1+$B$22)*(1+$B$22)*(1+$B$22)*(1+$B$22))</f>
        <v>0.59189846353002495</v>
      </c>
      <c r="L23" s="112"/>
    </row>
    <row r="24" spans="1:12" x14ac:dyDescent="0.35">
      <c r="A24" s="112" t="s">
        <v>194</v>
      </c>
      <c r="B24" s="112">
        <f>B4+B8+B10+B5+B6</f>
        <v>60600000</v>
      </c>
      <c r="C24" s="112">
        <f>C4+C8+C10+C5+C6</f>
        <v>81818181.818181813</v>
      </c>
      <c r="D24" s="112">
        <f t="shared" ref="D24:K24" si="5">D4+D8+D10</f>
        <v>110408214.74318181</v>
      </c>
      <c r="E24" s="112">
        <f t="shared" si="5"/>
        <v>131684074.16590907</v>
      </c>
      <c r="F24" s="112">
        <f t="shared" si="5"/>
        <v>153051450.17263633</v>
      </c>
      <c r="G24" s="112">
        <f t="shared" si="5"/>
        <v>174569785.85006177</v>
      </c>
      <c r="H24" s="112">
        <f t="shared" si="5"/>
        <v>196290005.71558881</v>
      </c>
      <c r="I24" s="112">
        <f t="shared" si="5"/>
        <v>218255542.92624819</v>
      </c>
      <c r="J24" s="112">
        <f t="shared" si="5"/>
        <v>240503413.15672159</v>
      </c>
      <c r="K24" s="112">
        <f t="shared" si="5"/>
        <v>271480805.07766873</v>
      </c>
      <c r="L24" s="112"/>
    </row>
    <row r="25" spans="1:12" x14ac:dyDescent="0.35">
      <c r="A25" s="112" t="s">
        <v>195</v>
      </c>
      <c r="B25" s="112">
        <f>B24*B23</f>
        <v>60600000</v>
      </c>
      <c r="C25" s="112">
        <f>C24*C23</f>
        <v>77186963.979416803</v>
      </c>
      <c r="D25" s="112">
        <f t="shared" ref="D25:K25" si="6">D24*D23</f>
        <v>98262918.069759518</v>
      </c>
      <c r="E25" s="112">
        <f t="shared" si="6"/>
        <v>110564487.937953</v>
      </c>
      <c r="F25" s="112">
        <f t="shared" si="6"/>
        <v>121231083.83113487</v>
      </c>
      <c r="G25" s="112">
        <f t="shared" si="6"/>
        <v>130448699.211936</v>
      </c>
      <c r="H25" s="112">
        <f t="shared" si="6"/>
        <v>138376708.51216862</v>
      </c>
      <c r="I25" s="112">
        <f t="shared" si="6"/>
        <v>145152401.4106065</v>
      </c>
      <c r="J25" s="112">
        <f t="shared" si="6"/>
        <v>150894816.76446173</v>
      </c>
      <c r="K25" s="112">
        <f t="shared" si="6"/>
        <v>160689071.40336633</v>
      </c>
      <c r="L25" s="112"/>
    </row>
    <row r="26" spans="1:12" x14ac:dyDescent="0.35">
      <c r="A26" s="112" t="s">
        <v>196</v>
      </c>
      <c r="B26" s="112">
        <f>B9+B11+B13+B15+B17+B19+B7+B12</f>
        <v>60600000</v>
      </c>
      <c r="C26" s="112">
        <f t="shared" ref="C26:K26" si="7">C9+C11+C13+C15+C17+C19+C7+C12</f>
        <v>63046330.711363629</v>
      </c>
      <c r="D26" s="112">
        <f t="shared" si="7"/>
        <v>72193231.486363634</v>
      </c>
      <c r="E26" s="112">
        <f t="shared" si="7"/>
        <v>73971096.720545456</v>
      </c>
      <c r="F26" s="112">
        <f t="shared" si="7"/>
        <v>75726906.504392713</v>
      </c>
      <c r="G26" s="112">
        <f t="shared" si="7"/>
        <v>77469927.159927502</v>
      </c>
      <c r="H26" s="112">
        <f t="shared" si="7"/>
        <v>79208412.755304247</v>
      </c>
      <c r="I26" s="112">
        <f t="shared" si="7"/>
        <v>80949558.734809503</v>
      </c>
      <c r="J26" s="112">
        <f t="shared" si="7"/>
        <v>74283985.623641461</v>
      </c>
      <c r="K26" s="112">
        <f t="shared" si="7"/>
        <v>76130128.488326281</v>
      </c>
      <c r="L26" s="112"/>
    </row>
    <row r="27" spans="1:12" x14ac:dyDescent="0.35">
      <c r="A27" s="112" t="s">
        <v>197</v>
      </c>
      <c r="B27" s="112">
        <f>B26*B23</f>
        <v>60600000</v>
      </c>
      <c r="C27" s="112">
        <f>C26*C23</f>
        <v>59477670.482418515</v>
      </c>
      <c r="D27" s="112">
        <f t="shared" ref="D27:K27" si="8">D26*D23</f>
        <v>64251719.01598756</v>
      </c>
      <c r="E27" s="112">
        <f t="shared" si="8"/>
        <v>62107559.193617411</v>
      </c>
      <c r="F27" s="112">
        <f t="shared" si="8"/>
        <v>59982802.778747499</v>
      </c>
      <c r="G27" s="112">
        <f t="shared" si="8"/>
        <v>57890036.221593939</v>
      </c>
      <c r="H27" s="112">
        <f t="shared" si="8"/>
        <v>55838805.463348232</v>
      </c>
      <c r="I27" s="112">
        <f t="shared" si="8"/>
        <v>53836079.881174177</v>
      </c>
      <c r="J27" s="112">
        <f t="shared" si="8"/>
        <v>46606691.572851039</v>
      </c>
      <c r="K27" s="112">
        <f t="shared" si="8"/>
        <v>45061306.080583706</v>
      </c>
      <c r="L27" s="112"/>
    </row>
    <row r="28" spans="1:12" x14ac:dyDescent="0.35">
      <c r="A28" s="112"/>
      <c r="B28" s="112"/>
      <c r="C28" s="112"/>
      <c r="D28" s="112"/>
      <c r="E28" s="112"/>
      <c r="F28" s="112"/>
      <c r="G28" s="112"/>
      <c r="H28" s="112"/>
      <c r="I28" s="112"/>
      <c r="J28" s="112"/>
      <c r="K28" s="112"/>
      <c r="L28" s="112"/>
    </row>
    <row r="29" spans="1:12" x14ac:dyDescent="0.35">
      <c r="A29" s="112" t="s">
        <v>198</v>
      </c>
      <c r="B29" s="112">
        <f>B24-B26</f>
        <v>0</v>
      </c>
      <c r="C29" s="112">
        <f>C24-C26</f>
        <v>18771851.106818184</v>
      </c>
      <c r="D29" s="112">
        <f>D24-D26</f>
        <v>38214983.256818175</v>
      </c>
      <c r="E29" s="112">
        <f t="shared" ref="E29:K29" si="9">E24-E26</f>
        <v>57712977.445363611</v>
      </c>
      <c r="F29" s="112">
        <f t="shared" si="9"/>
        <v>77324543.668243617</v>
      </c>
      <c r="G29" s="112">
        <f t="shared" si="9"/>
        <v>97099858.690134272</v>
      </c>
      <c r="H29" s="112">
        <f t="shared" si="9"/>
        <v>117081592.96028456</v>
      </c>
      <c r="I29" s="112">
        <f t="shared" si="9"/>
        <v>137305984.19143867</v>
      </c>
      <c r="J29" s="112">
        <f t="shared" si="9"/>
        <v>166219427.53308013</v>
      </c>
      <c r="K29" s="112">
        <f t="shared" si="9"/>
        <v>195350676.58934245</v>
      </c>
      <c r="L29" s="112"/>
    </row>
    <row r="30" spans="1:12" x14ac:dyDescent="0.35">
      <c r="A30" s="112" t="s">
        <v>199</v>
      </c>
      <c r="B30" s="112">
        <f>B25-B27</f>
        <v>0</v>
      </c>
      <c r="C30" s="112">
        <f>C29*C23</f>
        <v>17709293.496998284</v>
      </c>
      <c r="D30" s="112">
        <f t="shared" ref="D30:K30" si="10">D29*D23</f>
        <v>34011199.053771958</v>
      </c>
      <c r="E30" s="112">
        <f t="shared" si="10"/>
        <v>48456928.744335592</v>
      </c>
      <c r="F30" s="112">
        <f t="shared" si="10"/>
        <v>61248281.052387364</v>
      </c>
      <c r="G30" s="112">
        <f t="shared" si="10"/>
        <v>72558662.990342051</v>
      </c>
      <c r="H30" s="112">
        <f t="shared" si="10"/>
        <v>82537903.048820406</v>
      </c>
      <c r="I30" s="112">
        <f t="shared" si="10"/>
        <v>91316321.529432312</v>
      </c>
      <c r="J30" s="112">
        <f t="shared" si="10"/>
        <v>104288125.19161069</v>
      </c>
      <c r="K30" s="112">
        <f t="shared" si="10"/>
        <v>115627765.32278261</v>
      </c>
      <c r="L30" s="112">
        <f>SUM(B30:K30)</f>
        <v>627754480.43048131</v>
      </c>
    </row>
    <row r="31" spans="1:12" x14ac:dyDescent="0.35">
      <c r="A31" s="114"/>
      <c r="B31" s="114"/>
      <c r="C31" s="116"/>
      <c r="D31" s="116"/>
      <c r="E31" s="116"/>
      <c r="F31" s="116"/>
      <c r="G31" s="116"/>
      <c r="H31" s="114"/>
      <c r="I31" s="114"/>
      <c r="J31" s="114"/>
      <c r="K31" s="114"/>
      <c r="L31" s="114"/>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F8" sqref="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200</v>
      </c>
      <c r="B3" s="2">
        <f>'Ann 4'!C17/100000</f>
        <v>900</v>
      </c>
      <c r="C3" s="2">
        <f>'Ann 4'!D17/100000</f>
        <v>918</v>
      </c>
      <c r="D3" s="2">
        <f>'Ann 4'!E17/100000</f>
        <v>936.36</v>
      </c>
      <c r="E3" s="2">
        <f>'Ann 4'!F17/100000</f>
        <v>955.08720000000005</v>
      </c>
      <c r="F3" s="2">
        <f>'Ann 4'!G17/100000</f>
        <v>974.18894400000011</v>
      </c>
      <c r="G3" s="2">
        <f>'Ann 4'!H17/100000</f>
        <v>993.67272288000004</v>
      </c>
      <c r="H3" s="2">
        <f>'Ann 4'!I17/100000</f>
        <v>1013.5461773375999</v>
      </c>
      <c r="I3" s="2">
        <f>'Ann 4'!J17/100000</f>
        <v>1033.8171008843519</v>
      </c>
      <c r="J3" s="2">
        <f>'Ann 4'!K17/100000</f>
        <v>1054.4934429020391</v>
      </c>
    </row>
    <row r="4" spans="1:10" x14ac:dyDescent="0.35">
      <c r="A4" t="s">
        <v>201</v>
      </c>
      <c r="B4" s="2">
        <f>'Ann 4'!C16/100000</f>
        <v>197.64400000000001</v>
      </c>
      <c r="C4" s="2">
        <f>'Ann 4'!D16/100000</f>
        <v>205.42228</v>
      </c>
      <c r="D4" s="2">
        <f>'Ann 4'!E16/100000</f>
        <v>213.60169960000002</v>
      </c>
      <c r="E4" s="2">
        <f>'Ann 4'!F16/100000</f>
        <v>222.20587157200001</v>
      </c>
      <c r="F4" s="2">
        <f>'Ann 4'!G16/100000</f>
        <v>231.25989223204004</v>
      </c>
      <c r="G4" s="2">
        <f>'Ann 4'!H16/100000</f>
        <v>240.79043790078285</v>
      </c>
      <c r="H4" s="2">
        <f>'Ann 4'!I16/100000</f>
        <v>250.82586776856266</v>
      </c>
      <c r="I4" s="2">
        <f>'Ann 4'!J16/100000</f>
        <v>258.76974614063028</v>
      </c>
      <c r="J4" s="2">
        <f>'Ann 4'!K16/100000</f>
        <v>267.14939242865046</v>
      </c>
    </row>
    <row r="5" spans="1:10" x14ac:dyDescent="0.35">
      <c r="A5" t="s">
        <v>202</v>
      </c>
      <c r="B5" s="2">
        <f>B3-B4</f>
        <v>702.35599999999999</v>
      </c>
      <c r="C5" s="2">
        <f t="shared" ref="C5:J5" si="0">C3-C4</f>
        <v>712.57772</v>
      </c>
      <c r="D5" s="2">
        <f t="shared" si="0"/>
        <v>722.75830040000005</v>
      </c>
      <c r="E5" s="2">
        <f t="shared" si="0"/>
        <v>732.88132842800007</v>
      </c>
      <c r="F5" s="2">
        <f t="shared" si="0"/>
        <v>742.92905176796012</v>
      </c>
      <c r="G5" s="2">
        <f t="shared" si="0"/>
        <v>752.88228497921716</v>
      </c>
      <c r="H5" s="2">
        <f t="shared" si="0"/>
        <v>762.72030956903723</v>
      </c>
      <c r="I5" s="2">
        <f t="shared" si="0"/>
        <v>775.0473547437216</v>
      </c>
      <c r="J5" s="2">
        <f t="shared" si="0"/>
        <v>787.34405047338862</v>
      </c>
    </row>
    <row r="6" spans="1:10" x14ac:dyDescent="0.35">
      <c r="A6" t="s">
        <v>203</v>
      </c>
      <c r="B6" s="2">
        <f>B5</f>
        <v>702.35599999999999</v>
      </c>
      <c r="C6" s="2">
        <f t="shared" ref="C6:J6" si="1">C5</f>
        <v>712.57772</v>
      </c>
      <c r="D6" s="2">
        <f t="shared" si="1"/>
        <v>722.75830040000005</v>
      </c>
      <c r="E6" s="2">
        <f t="shared" si="1"/>
        <v>732.88132842800007</v>
      </c>
      <c r="F6" s="2">
        <f t="shared" si="1"/>
        <v>742.92905176796012</v>
      </c>
      <c r="G6" s="2">
        <f t="shared" si="1"/>
        <v>752.88228497921716</v>
      </c>
      <c r="H6" s="2">
        <f t="shared" si="1"/>
        <v>762.72030956903723</v>
      </c>
      <c r="I6" s="2">
        <f t="shared" si="1"/>
        <v>775.0473547437216</v>
      </c>
      <c r="J6" s="2">
        <f t="shared" si="1"/>
        <v>787.34405047338862</v>
      </c>
    </row>
    <row r="7" spans="1:10" x14ac:dyDescent="0.35">
      <c r="A7" t="s">
        <v>204</v>
      </c>
      <c r="B7" s="78">
        <f>'Ann 4'!C28/100000</f>
        <v>586.64665500000001</v>
      </c>
      <c r="C7" s="78">
        <f>'Ann 4'!D28/100000</f>
        <v>623.40389000000005</v>
      </c>
      <c r="D7" s="78">
        <f>'Ann 4'!E28/100000</f>
        <v>645.99220039999989</v>
      </c>
      <c r="E7" s="78">
        <f>'Ann 4'!F28/100000</f>
        <v>667.5924709279999</v>
      </c>
      <c r="F7" s="78">
        <f>'Ann 4'!G28/100000</f>
        <v>688.30897239296007</v>
      </c>
      <c r="G7" s="78">
        <f>'Ann 4'!H28/100000</f>
        <v>708.22799401046723</v>
      </c>
      <c r="H7" s="78">
        <f>'Ann 4'!I28/100000</f>
        <v>727.42005024559978</v>
      </c>
      <c r="I7" s="78">
        <f>'Ann 4'!J28/100000</f>
        <v>746.68028986879995</v>
      </c>
      <c r="J7" s="78">
        <f>'Ann 4'!K28/100000</f>
        <v>762.29936637470519</v>
      </c>
    </row>
    <row r="8" spans="1:10" x14ac:dyDescent="0.35">
      <c r="A8" t="s">
        <v>205</v>
      </c>
      <c r="B8" s="78">
        <f>'Ann 4'!C30/100000</f>
        <v>406.45265850000004</v>
      </c>
      <c r="C8" s="78">
        <f>'Ann 4'!D30/100000</f>
        <v>436.382723</v>
      </c>
      <c r="D8" s="78">
        <f>'Ann 4'!E30/100000</f>
        <v>452.19454027999996</v>
      </c>
      <c r="E8" s="78">
        <f>'Ann 4'!F30/100000</f>
        <v>467.31472964959994</v>
      </c>
      <c r="F8" s="78">
        <f>'Ann 4'!G30/100000</f>
        <v>481.81628067507205</v>
      </c>
      <c r="G8" s="78">
        <f>'Ann 4'!H30/100000</f>
        <v>495.75959580732706</v>
      </c>
      <c r="H8" s="78">
        <f>'Ann 4'!I30/100000</f>
        <v>509.19403517191984</v>
      </c>
      <c r="I8" s="78">
        <f>'Ann 4'!J30/100000</f>
        <v>522.67620290815989</v>
      </c>
      <c r="J8" s="78">
        <f>'Ann 4'!K30/100000</f>
        <v>533.60955646229354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7" sqref="B7"/>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225</v>
      </c>
      <c r="B1" s="22" t="s">
        <v>226</v>
      </c>
    </row>
    <row r="2" spans="1:12" x14ac:dyDescent="0.35">
      <c r="A2">
        <v>1</v>
      </c>
      <c r="B2" t="s">
        <v>278</v>
      </c>
    </row>
    <row r="3" spans="1:12" x14ac:dyDescent="0.35">
      <c r="A3">
        <v>2</v>
      </c>
      <c r="B3" t="s">
        <v>227</v>
      </c>
    </row>
    <row r="4" spans="1:12" x14ac:dyDescent="0.35">
      <c r="C4" t="s">
        <v>177</v>
      </c>
      <c r="D4">
        <v>280000</v>
      </c>
      <c r="E4">
        <f>D4*1.05</f>
        <v>294000</v>
      </c>
      <c r="F4">
        <f t="shared" ref="F4:J4" si="0">E4*1.05</f>
        <v>308700</v>
      </c>
      <c r="G4">
        <f t="shared" si="0"/>
        <v>324135</v>
      </c>
      <c r="H4">
        <f t="shared" si="0"/>
        <v>340341.75</v>
      </c>
      <c r="I4">
        <f t="shared" si="0"/>
        <v>357358.83750000002</v>
      </c>
      <c r="J4">
        <f t="shared" si="0"/>
        <v>375226.77937500004</v>
      </c>
      <c r="K4">
        <f>J4</f>
        <v>375226.77937500004</v>
      </c>
      <c r="L4">
        <f>K4</f>
        <v>375226.77937500004</v>
      </c>
    </row>
    <row r="5" spans="1:12" x14ac:dyDescent="0.35">
      <c r="C5" t="s">
        <v>73</v>
      </c>
      <c r="D5">
        <f>D4*14</f>
        <v>3920000</v>
      </c>
      <c r="E5">
        <f t="shared" ref="E5:L5" si="1">E4*14</f>
        <v>4116000</v>
      </c>
      <c r="F5">
        <f t="shared" si="1"/>
        <v>4321800</v>
      </c>
      <c r="G5">
        <f t="shared" si="1"/>
        <v>4537890</v>
      </c>
      <c r="H5">
        <f t="shared" si="1"/>
        <v>4764784.5</v>
      </c>
      <c r="I5">
        <f t="shared" si="1"/>
        <v>5003023.7250000006</v>
      </c>
      <c r="J5">
        <f t="shared" si="1"/>
        <v>5253174.9112500008</v>
      </c>
      <c r="K5">
        <f t="shared" si="1"/>
        <v>5253174.9112500008</v>
      </c>
      <c r="L5">
        <f t="shared" si="1"/>
        <v>5253174.9112500008</v>
      </c>
    </row>
    <row r="6" spans="1:12" x14ac:dyDescent="0.35">
      <c r="A6">
        <v>3</v>
      </c>
      <c r="B6" t="s">
        <v>254</v>
      </c>
    </row>
    <row r="7" spans="1:12" x14ac:dyDescent="0.35">
      <c r="A7">
        <v>4</v>
      </c>
      <c r="B7" t="s">
        <v>274</v>
      </c>
    </row>
    <row r="8" spans="1:12" x14ac:dyDescent="0.35">
      <c r="A8">
        <v>5</v>
      </c>
      <c r="B8" t="s">
        <v>276</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142</v>
      </c>
    </row>
    <row r="2" spans="1:11" x14ac:dyDescent="0.35">
      <c r="C2" t="s">
        <v>39</v>
      </c>
      <c r="D2" t="s">
        <v>40</v>
      </c>
      <c r="E2" t="s">
        <v>41</v>
      </c>
      <c r="F2" t="s">
        <v>42</v>
      </c>
      <c r="G2" t="s">
        <v>43</v>
      </c>
      <c r="H2" t="s">
        <v>44</v>
      </c>
      <c r="I2" t="s">
        <v>45</v>
      </c>
      <c r="J2" t="s">
        <v>46</v>
      </c>
      <c r="K2" t="s">
        <v>47</v>
      </c>
    </row>
    <row r="3" spans="1:11" x14ac:dyDescent="0.35">
      <c r="A3" t="s">
        <v>143</v>
      </c>
      <c r="C3">
        <f>'Ann 4'!C17/300*270</f>
        <v>81000000</v>
      </c>
      <c r="D3">
        <f>'Ann 4'!D17/300*270</f>
        <v>82620000</v>
      </c>
      <c r="E3">
        <f>'Ann 4'!E17/300*270</f>
        <v>84272400</v>
      </c>
      <c r="F3">
        <f>'Ann 4'!F17/300*270</f>
        <v>85957848</v>
      </c>
      <c r="G3">
        <f>'Ann 4'!G17/300*270</f>
        <v>87677004.960000008</v>
      </c>
      <c r="H3">
        <f>'Ann 4'!H17/300*270</f>
        <v>89430545.059200004</v>
      </c>
      <c r="I3">
        <f>'Ann 4'!I17/300*270</f>
        <v>91219155.960383996</v>
      </c>
      <c r="J3">
        <f>'Ann 4'!J17/300*270</f>
        <v>93043539.079591691</v>
      </c>
      <c r="K3">
        <f>'Ann 4'!K17/300*270</f>
        <v>94904409.861183524</v>
      </c>
    </row>
    <row r="4" spans="1:11" x14ac:dyDescent="0.35">
      <c r="A4" t="s">
        <v>144</v>
      </c>
      <c r="C4">
        <v>5000000</v>
      </c>
    </row>
    <row r="5" spans="1:11" x14ac:dyDescent="0.35">
      <c r="A5" t="s">
        <v>145</v>
      </c>
      <c r="C5">
        <v>21492978</v>
      </c>
    </row>
    <row r="7" spans="1:11" x14ac:dyDescent="0.35">
      <c r="A7" t="s">
        <v>146</v>
      </c>
      <c r="C7">
        <f>'Ann 3'!G16</f>
        <v>59200000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workbookViewId="0">
      <selection activeCell="C25" sqref="C25"/>
    </sheetView>
  </sheetViews>
  <sheetFormatPr defaultRowHeight="14.5" x14ac:dyDescent="0.35"/>
  <cols>
    <col min="2" max="2" width="44.90625" customWidth="1"/>
    <col min="3" max="3" width="13.26953125" customWidth="1"/>
  </cols>
  <sheetData>
    <row r="1" spans="1:3" x14ac:dyDescent="0.35">
      <c r="A1" s="22" t="s">
        <v>229</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169</v>
      </c>
      <c r="C11" s="66">
        <f>'Ann 3'!G6/100000</f>
        <v>390</v>
      </c>
    </row>
    <row r="12" spans="1:3" x14ac:dyDescent="0.35">
      <c r="A12" s="7" t="s">
        <v>5</v>
      </c>
      <c r="B12" s="9" t="s">
        <v>8</v>
      </c>
      <c r="C12" s="66">
        <f>C11</f>
        <v>390</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3'!G14/100000</f>
        <v>202</v>
      </c>
    </row>
    <row r="20" spans="1:3" x14ac:dyDescent="0.35">
      <c r="A20" s="7"/>
      <c r="B20" s="9" t="s">
        <v>8</v>
      </c>
      <c r="C20" s="27">
        <f>C19</f>
        <v>202</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v>14</v>
      </c>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168</v>
      </c>
      <c r="C37" s="66">
        <v>0</v>
      </c>
    </row>
    <row r="38" spans="1:3" x14ac:dyDescent="0.35">
      <c r="A38" s="7"/>
      <c r="B38" s="9"/>
      <c r="C38" s="6"/>
    </row>
    <row r="39" spans="1:3" x14ac:dyDescent="0.35">
      <c r="A39" s="8"/>
      <c r="B39" s="11" t="s">
        <v>22</v>
      </c>
      <c r="C39" s="28">
        <f>C35+C27+C25+C20+C16+C23+C37+C12</f>
        <v>606</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6" sqref="C6"/>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60.6</v>
      </c>
      <c r="D4" s="42"/>
    </row>
    <row r="5" spans="1:4" x14ac:dyDescent="0.35">
      <c r="A5" s="14">
        <v>2</v>
      </c>
      <c r="B5" s="5" t="s">
        <v>27</v>
      </c>
      <c r="C5" s="27">
        <v>0</v>
      </c>
      <c r="D5" s="2"/>
    </row>
    <row r="6" spans="1:4" x14ac:dyDescent="0.35">
      <c r="A6" s="14">
        <v>3</v>
      </c>
      <c r="B6" s="5" t="s">
        <v>28</v>
      </c>
      <c r="C6" s="66">
        <f>C8-C4-C7</f>
        <v>545.4</v>
      </c>
      <c r="D6" s="42"/>
    </row>
    <row r="7" spans="1:4" x14ac:dyDescent="0.35">
      <c r="A7" s="14">
        <v>4</v>
      </c>
      <c r="B7" s="5" t="s">
        <v>29</v>
      </c>
      <c r="C7" s="66">
        <f>'Ann 1'!C25</f>
        <v>0</v>
      </c>
    </row>
    <row r="8" spans="1:4" x14ac:dyDescent="0.35">
      <c r="A8" s="13"/>
      <c r="B8" s="4" t="s">
        <v>8</v>
      </c>
      <c r="C8" s="37">
        <f>'Ann 1'!C39</f>
        <v>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18"/>
  <sheetViews>
    <sheetView workbookViewId="0">
      <selection activeCell="A13" sqref="A13"/>
    </sheetView>
  </sheetViews>
  <sheetFormatPr defaultRowHeight="14.5" x14ac:dyDescent="0.35"/>
  <cols>
    <col min="1" max="1" width="3.6328125" customWidth="1"/>
    <col min="2" max="2" width="33.54296875" customWidth="1"/>
    <col min="4" max="4" width="12.7265625" bestFit="1" customWidth="1"/>
    <col min="6" max="6" width="10.54296875" customWidth="1"/>
    <col min="7" max="7" width="12.1796875" bestFit="1" customWidth="1"/>
    <col min="9" max="9" width="9.1796875" bestFit="1" customWidth="1"/>
  </cols>
  <sheetData>
    <row r="1" spans="1:7" x14ac:dyDescent="0.35">
      <c r="A1" s="22" t="s">
        <v>30</v>
      </c>
    </row>
    <row r="3" spans="1:7" x14ac:dyDescent="0.35">
      <c r="A3" s="36" t="s">
        <v>255</v>
      </c>
      <c r="B3" s="32"/>
      <c r="C3" s="32"/>
      <c r="D3" s="32"/>
      <c r="E3" s="32" t="s">
        <v>31</v>
      </c>
      <c r="F3" s="32"/>
      <c r="G3" s="77" t="s">
        <v>32</v>
      </c>
    </row>
    <row r="4" spans="1:7" x14ac:dyDescent="0.35">
      <c r="A4" s="43">
        <v>1</v>
      </c>
      <c r="B4" s="97" t="s">
        <v>256</v>
      </c>
      <c r="C4" s="45"/>
      <c r="D4" s="88"/>
      <c r="E4" s="88">
        <v>1</v>
      </c>
      <c r="F4" s="89"/>
      <c r="G4" s="90">
        <v>30000000</v>
      </c>
    </row>
    <row r="5" spans="1:7" x14ac:dyDescent="0.35">
      <c r="A5" s="49">
        <v>2</v>
      </c>
      <c r="B5" s="92" t="s">
        <v>257</v>
      </c>
      <c r="C5" s="50"/>
      <c r="D5" s="92"/>
      <c r="E5" s="92"/>
      <c r="F5" s="93"/>
      <c r="G5" s="94">
        <v>9000000</v>
      </c>
    </row>
    <row r="6" spans="1:7" x14ac:dyDescent="0.35">
      <c r="A6" s="99" t="s">
        <v>262</v>
      </c>
      <c r="B6" s="100"/>
      <c r="C6" s="100"/>
      <c r="D6" s="100"/>
      <c r="E6" s="100"/>
      <c r="F6" s="100"/>
      <c r="G6" s="101">
        <f>SUM(G4:G5)</f>
        <v>39000000</v>
      </c>
    </row>
    <row r="7" spans="1:7" x14ac:dyDescent="0.35">
      <c r="A7" s="13"/>
      <c r="B7" s="4"/>
      <c r="C7" s="4"/>
      <c r="D7" s="4"/>
      <c r="E7" s="4"/>
      <c r="F7" s="4"/>
      <c r="G7" s="95"/>
    </row>
    <row r="8" spans="1:7" x14ac:dyDescent="0.35">
      <c r="A8" s="36" t="s">
        <v>33</v>
      </c>
      <c r="B8" s="32"/>
      <c r="C8" s="32"/>
      <c r="D8" s="32"/>
      <c r="E8" s="32" t="s">
        <v>31</v>
      </c>
      <c r="F8" s="32"/>
      <c r="G8" s="77" t="s">
        <v>32</v>
      </c>
    </row>
    <row r="9" spans="1:7" x14ac:dyDescent="0.35">
      <c r="A9" s="43">
        <v>1</v>
      </c>
      <c r="B9" s="88" t="s">
        <v>11</v>
      </c>
      <c r="C9" s="45"/>
      <c r="D9" s="88"/>
      <c r="E9" s="88">
        <v>1</v>
      </c>
      <c r="F9" s="89"/>
      <c r="G9" s="90">
        <v>12000000</v>
      </c>
    </row>
    <row r="10" spans="1:7" x14ac:dyDescent="0.35">
      <c r="A10" s="14">
        <v>2</v>
      </c>
      <c r="B10" s="96" t="s">
        <v>258</v>
      </c>
      <c r="C10" s="5"/>
      <c r="D10" s="39"/>
      <c r="E10" s="39">
        <v>1</v>
      </c>
      <c r="F10" s="17"/>
      <c r="G10" s="102">
        <v>700000</v>
      </c>
    </row>
    <row r="11" spans="1:7" x14ac:dyDescent="0.35">
      <c r="A11" s="14">
        <v>3</v>
      </c>
      <c r="B11" s="39" t="s">
        <v>259</v>
      </c>
      <c r="C11" s="5"/>
      <c r="D11" s="39"/>
      <c r="E11" s="39">
        <v>1</v>
      </c>
      <c r="F11" s="17"/>
      <c r="G11" s="91">
        <v>4000000</v>
      </c>
    </row>
    <row r="12" spans="1:7" x14ac:dyDescent="0.35">
      <c r="A12" s="14">
        <v>4</v>
      </c>
      <c r="B12" s="39" t="s">
        <v>260</v>
      </c>
      <c r="C12" s="5"/>
      <c r="D12" s="39"/>
      <c r="E12" s="39">
        <v>1</v>
      </c>
      <c r="F12" s="17"/>
      <c r="G12" s="91">
        <v>2000000</v>
      </c>
    </row>
    <row r="13" spans="1:7" x14ac:dyDescent="0.35">
      <c r="A13" s="14">
        <v>5</v>
      </c>
      <c r="B13" s="39" t="s">
        <v>261</v>
      </c>
      <c r="C13" s="5"/>
      <c r="D13" s="39"/>
      <c r="E13" s="39">
        <v>1</v>
      </c>
      <c r="F13" s="17"/>
      <c r="G13" s="91">
        <v>1500000</v>
      </c>
    </row>
    <row r="14" spans="1:7" s="22" customFormat="1" x14ac:dyDescent="0.35">
      <c r="A14" s="19" t="s">
        <v>34</v>
      </c>
      <c r="B14" s="20"/>
      <c r="C14" s="20"/>
      <c r="D14" s="20"/>
      <c r="E14" s="20"/>
      <c r="F14" s="20"/>
      <c r="G14" s="21">
        <f>SUM(G9:G13)</f>
        <v>20200000</v>
      </c>
    </row>
    <row r="15" spans="1:7" x14ac:dyDescent="0.35">
      <c r="A15" s="14"/>
      <c r="B15" s="5"/>
      <c r="C15" s="5"/>
      <c r="D15" s="5"/>
      <c r="E15" s="5"/>
      <c r="F15" s="5"/>
      <c r="G15" s="6"/>
    </row>
    <row r="16" spans="1:7" s="22" customFormat="1" x14ac:dyDescent="0.35">
      <c r="A16" s="19" t="s">
        <v>35</v>
      </c>
      <c r="B16" s="20"/>
      <c r="C16" s="20"/>
      <c r="D16" s="20"/>
      <c r="E16" s="20"/>
      <c r="F16" s="20"/>
      <c r="G16" s="21">
        <f>G14+G6</f>
        <v>59200000</v>
      </c>
    </row>
    <row r="17" spans="7:7" x14ac:dyDescent="0.35">
      <c r="G17" s="24"/>
    </row>
    <row r="18" spans="7:7" x14ac:dyDescent="0.35">
      <c r="G18"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8"/>
  <sheetViews>
    <sheetView topLeftCell="A12" workbookViewId="0">
      <selection activeCell="C9" sqref="C9"/>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06" t="s">
        <v>48</v>
      </c>
      <c r="D3" s="106"/>
      <c r="E3" s="106"/>
      <c r="F3" s="106"/>
      <c r="G3" s="106"/>
      <c r="H3" s="106"/>
      <c r="I3" s="106"/>
      <c r="J3" s="106"/>
      <c r="K3" s="106"/>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176</v>
      </c>
      <c r="C7" s="30">
        <f>700000+C37</f>
        <v>4620000</v>
      </c>
      <c r="D7" s="30">
        <f t="shared" ref="D7:K7" si="0">700000+D37</f>
        <v>4816000</v>
      </c>
      <c r="E7" s="30">
        <f t="shared" si="0"/>
        <v>5021800</v>
      </c>
      <c r="F7" s="30">
        <f t="shared" si="0"/>
        <v>5237890</v>
      </c>
      <c r="G7" s="30">
        <f t="shared" si="0"/>
        <v>5464784.5</v>
      </c>
      <c r="H7" s="30">
        <f t="shared" si="0"/>
        <v>5703023.7250000006</v>
      </c>
      <c r="I7" s="30">
        <f t="shared" si="0"/>
        <v>5953174.9112500008</v>
      </c>
      <c r="J7" s="30">
        <f t="shared" si="0"/>
        <v>5953174.9112500008</v>
      </c>
      <c r="K7" s="30">
        <f t="shared" si="0"/>
        <v>5953174.9112500008</v>
      </c>
    </row>
    <row r="8" spans="1:11" x14ac:dyDescent="0.35">
      <c r="A8" s="12"/>
      <c r="B8" s="12" t="s">
        <v>275</v>
      </c>
      <c r="C8" s="30">
        <f>7%*'Ann 3'!G14</f>
        <v>1414000.0000000002</v>
      </c>
      <c r="D8" s="30">
        <f>C8*1.05</f>
        <v>1484700.0000000002</v>
      </c>
      <c r="E8" s="30">
        <f t="shared" ref="E8:K8" si="1">D8*1.05</f>
        <v>1558935.0000000002</v>
      </c>
      <c r="F8" s="30">
        <f t="shared" si="1"/>
        <v>1636881.7500000002</v>
      </c>
      <c r="G8" s="30">
        <f t="shared" si="1"/>
        <v>1718725.8375000004</v>
      </c>
      <c r="H8" s="30">
        <f t="shared" si="1"/>
        <v>1804662.1293750005</v>
      </c>
      <c r="I8" s="30">
        <f t="shared" si="1"/>
        <v>1894895.2358437506</v>
      </c>
      <c r="J8" s="30">
        <f t="shared" si="1"/>
        <v>1989639.9976359382</v>
      </c>
      <c r="K8" s="30">
        <f t="shared" si="1"/>
        <v>2089121.9975177352</v>
      </c>
    </row>
    <row r="9" spans="1:11" x14ac:dyDescent="0.35">
      <c r="A9" s="12"/>
      <c r="B9" s="12" t="s">
        <v>270</v>
      </c>
      <c r="C9" s="30">
        <f>C17*10%</f>
        <v>9000000</v>
      </c>
      <c r="D9" s="30">
        <f t="shared" ref="D9:K9" si="2">D17*10%</f>
        <v>9180000</v>
      </c>
      <c r="E9" s="30">
        <f t="shared" si="2"/>
        <v>9363600</v>
      </c>
      <c r="F9" s="30">
        <f t="shared" si="2"/>
        <v>9550872</v>
      </c>
      <c r="G9" s="30">
        <f t="shared" si="2"/>
        <v>9741889.4400000013</v>
      </c>
      <c r="H9" s="30">
        <f t="shared" si="2"/>
        <v>9936727.2288000006</v>
      </c>
      <c r="I9" s="30">
        <f t="shared" si="2"/>
        <v>10135461.773376001</v>
      </c>
      <c r="J9" s="30">
        <f t="shared" si="2"/>
        <v>10338171.008843521</v>
      </c>
      <c r="K9" s="30">
        <f t="shared" si="2"/>
        <v>10544934.429020392</v>
      </c>
    </row>
    <row r="10" spans="1:11" x14ac:dyDescent="0.35">
      <c r="A10" s="12"/>
      <c r="B10" s="12" t="s">
        <v>179</v>
      </c>
      <c r="C10" s="30">
        <f t="shared" ref="C10:K10" si="3">SUM(C7:C9)</f>
        <v>15034000</v>
      </c>
      <c r="D10" s="30">
        <f t="shared" si="3"/>
        <v>15480700</v>
      </c>
      <c r="E10" s="30">
        <f t="shared" si="3"/>
        <v>15944335</v>
      </c>
      <c r="F10" s="30">
        <f t="shared" si="3"/>
        <v>16425643.75</v>
      </c>
      <c r="G10" s="30">
        <f t="shared" si="3"/>
        <v>16925399.777500004</v>
      </c>
      <c r="H10" s="30">
        <f t="shared" si="3"/>
        <v>17444413.083175004</v>
      </c>
      <c r="I10" s="30">
        <f t="shared" si="3"/>
        <v>17983531.920469753</v>
      </c>
      <c r="J10" s="30">
        <f t="shared" si="3"/>
        <v>18280985.91772946</v>
      </c>
      <c r="K10" s="30">
        <f t="shared" si="3"/>
        <v>18587231.337788127</v>
      </c>
    </row>
    <row r="11" spans="1:11" x14ac:dyDescent="0.35">
      <c r="A11" s="12"/>
      <c r="B11" s="12" t="s">
        <v>180</v>
      </c>
      <c r="C11" s="30">
        <f>SUM(C10)</f>
        <v>15034000</v>
      </c>
      <c r="D11" s="30">
        <f t="shared" ref="D11:K11" si="4">SUM(D10)</f>
        <v>15480700</v>
      </c>
      <c r="E11" s="30">
        <f t="shared" si="4"/>
        <v>15944335</v>
      </c>
      <c r="F11" s="30">
        <f t="shared" si="4"/>
        <v>16425643.75</v>
      </c>
      <c r="G11" s="30">
        <f t="shared" si="4"/>
        <v>16925399.777500004</v>
      </c>
      <c r="H11" s="30">
        <f t="shared" si="4"/>
        <v>17444413.083175004</v>
      </c>
      <c r="I11" s="30">
        <f t="shared" si="4"/>
        <v>17983531.920469753</v>
      </c>
      <c r="J11" s="30">
        <f t="shared" si="4"/>
        <v>18280985.91772946</v>
      </c>
      <c r="K11" s="30">
        <f t="shared" si="4"/>
        <v>18587231.337788127</v>
      </c>
    </row>
    <row r="12" spans="1:11" x14ac:dyDescent="0.35">
      <c r="A12" s="12"/>
      <c r="B12" s="12"/>
      <c r="C12" s="30"/>
      <c r="D12" s="30"/>
      <c r="E12" s="30"/>
      <c r="F12" s="30"/>
      <c r="G12" s="30"/>
      <c r="H12" s="30"/>
      <c r="I12" s="30"/>
      <c r="J12" s="30"/>
      <c r="K12" s="30"/>
    </row>
    <row r="13" spans="1:11" x14ac:dyDescent="0.35">
      <c r="A13" s="12"/>
      <c r="B13" s="12" t="s">
        <v>51</v>
      </c>
      <c r="C13" s="30">
        <f>'Ann 8'!E13</f>
        <v>4730400</v>
      </c>
      <c r="D13" s="30">
        <f>1.07*C13</f>
        <v>5061528</v>
      </c>
      <c r="E13" s="30">
        <f t="shared" ref="E13:K13" si="5">1.07*D13</f>
        <v>5415834.96</v>
      </c>
      <c r="F13" s="30">
        <f t="shared" si="5"/>
        <v>5794943.4072000002</v>
      </c>
      <c r="G13" s="30">
        <f t="shared" si="5"/>
        <v>6200589.445704001</v>
      </c>
      <c r="H13" s="30">
        <f t="shared" si="5"/>
        <v>6634630.7069032816</v>
      </c>
      <c r="I13" s="30">
        <f t="shared" si="5"/>
        <v>7099054.8563865116</v>
      </c>
      <c r="J13" s="30">
        <f t="shared" si="5"/>
        <v>7595988.6963335676</v>
      </c>
      <c r="K13" s="30">
        <f t="shared" si="5"/>
        <v>8127707.9050769182</v>
      </c>
    </row>
    <row r="14" spans="1:11" x14ac:dyDescent="0.35">
      <c r="A14" s="12"/>
      <c r="B14" s="12" t="s">
        <v>8</v>
      </c>
      <c r="C14" s="30">
        <f t="shared" ref="C14:K14" si="6">SUM(C13:C13)</f>
        <v>4730400</v>
      </c>
      <c r="D14" s="30">
        <f t="shared" si="6"/>
        <v>5061528</v>
      </c>
      <c r="E14" s="30">
        <f t="shared" si="6"/>
        <v>5415834.96</v>
      </c>
      <c r="F14" s="30">
        <f t="shared" si="6"/>
        <v>5794943.4072000002</v>
      </c>
      <c r="G14" s="30">
        <f t="shared" si="6"/>
        <v>6200589.445704001</v>
      </c>
      <c r="H14" s="30">
        <f t="shared" si="6"/>
        <v>6634630.7069032816</v>
      </c>
      <c r="I14" s="30">
        <f t="shared" si="6"/>
        <v>7099054.8563865116</v>
      </c>
      <c r="J14" s="30">
        <f t="shared" si="6"/>
        <v>7595988.6963335676</v>
      </c>
      <c r="K14" s="30">
        <f t="shared" si="6"/>
        <v>8127707.9050769182</v>
      </c>
    </row>
    <row r="15" spans="1:11" x14ac:dyDescent="0.35">
      <c r="A15" s="12"/>
      <c r="B15" s="12"/>
      <c r="C15" s="30"/>
      <c r="D15" s="30"/>
      <c r="E15" s="30"/>
      <c r="F15" s="30"/>
      <c r="G15" s="30"/>
      <c r="H15" s="30"/>
      <c r="I15" s="30"/>
      <c r="J15" s="30"/>
      <c r="K15" s="30"/>
    </row>
    <row r="16" spans="1:11" x14ac:dyDescent="0.35">
      <c r="A16" s="12"/>
      <c r="B16" s="12" t="s">
        <v>87</v>
      </c>
      <c r="C16" s="30">
        <f t="shared" ref="C16:K16" si="7">C14+C11</f>
        <v>19764400</v>
      </c>
      <c r="D16" s="30">
        <f t="shared" si="7"/>
        <v>20542228</v>
      </c>
      <c r="E16" s="30">
        <f t="shared" si="7"/>
        <v>21360169.960000001</v>
      </c>
      <c r="F16" s="30">
        <f t="shared" si="7"/>
        <v>22220587.157200001</v>
      </c>
      <c r="G16" s="30">
        <f t="shared" si="7"/>
        <v>23125989.223204006</v>
      </c>
      <c r="H16" s="30">
        <f t="shared" si="7"/>
        <v>24079043.790078286</v>
      </c>
      <c r="I16" s="30">
        <f t="shared" si="7"/>
        <v>25082586.776856266</v>
      </c>
      <c r="J16" s="30">
        <f t="shared" si="7"/>
        <v>25876974.614063028</v>
      </c>
      <c r="K16" s="30">
        <f t="shared" si="7"/>
        <v>26714939.242865045</v>
      </c>
    </row>
    <row r="17" spans="1:11" x14ac:dyDescent="0.35">
      <c r="A17" s="12"/>
      <c r="B17" s="12" t="s">
        <v>88</v>
      </c>
      <c r="C17" s="30">
        <f>Budgets!B6</f>
        <v>90000000</v>
      </c>
      <c r="D17" s="30">
        <f>Budgets!C6</f>
        <v>91800000</v>
      </c>
      <c r="E17" s="30">
        <f>Budgets!D6</f>
        <v>93636000</v>
      </c>
      <c r="F17" s="30">
        <f>Budgets!E6</f>
        <v>95508720</v>
      </c>
      <c r="G17" s="30">
        <f>Budgets!F6</f>
        <v>97418894.400000006</v>
      </c>
      <c r="H17" s="30">
        <f>Budgets!G6</f>
        <v>99367272.288000003</v>
      </c>
      <c r="I17" s="30">
        <f>Budgets!H6</f>
        <v>101354617.73376</v>
      </c>
      <c r="J17" s="30">
        <f>Budgets!I6</f>
        <v>103381710.0884352</v>
      </c>
      <c r="K17" s="30">
        <f>Budgets!J6</f>
        <v>105449344.29020391</v>
      </c>
    </row>
    <row r="18" spans="1:11" x14ac:dyDescent="0.35">
      <c r="A18" s="12"/>
      <c r="B18" s="12" t="s">
        <v>89</v>
      </c>
      <c r="C18" s="30">
        <f>C17-C16</f>
        <v>70235600</v>
      </c>
      <c r="D18" s="30">
        <f t="shared" ref="D18:K18" si="8">D17-D16</f>
        <v>71257772</v>
      </c>
      <c r="E18" s="30">
        <f t="shared" si="8"/>
        <v>72275830.039999992</v>
      </c>
      <c r="F18" s="30">
        <f t="shared" si="8"/>
        <v>73288132.842799991</v>
      </c>
      <c r="G18" s="30">
        <f t="shared" si="8"/>
        <v>74292905.176796004</v>
      </c>
      <c r="H18" s="30">
        <f t="shared" si="8"/>
        <v>75288228.49792172</v>
      </c>
      <c r="I18" s="30">
        <f t="shared" si="8"/>
        <v>76272030.956903726</v>
      </c>
      <c r="J18" s="30">
        <f t="shared" si="8"/>
        <v>77504735.474372178</v>
      </c>
      <c r="K18" s="30">
        <f t="shared" si="8"/>
        <v>78734405.047338873</v>
      </c>
    </row>
    <row r="19" spans="1:11" x14ac:dyDescent="0.35">
      <c r="A19" s="12"/>
      <c r="B19" s="12"/>
      <c r="C19" s="30"/>
      <c r="D19" s="30"/>
      <c r="E19" s="30"/>
      <c r="F19" s="30"/>
      <c r="G19" s="30"/>
      <c r="H19" s="30"/>
      <c r="I19" s="30"/>
      <c r="J19" s="30"/>
      <c r="K19" s="30"/>
    </row>
    <row r="20" spans="1:11" x14ac:dyDescent="0.35">
      <c r="A20" s="12"/>
      <c r="B20" s="12" t="s">
        <v>90</v>
      </c>
      <c r="C20" s="30"/>
      <c r="D20" s="30"/>
      <c r="E20" s="30"/>
      <c r="F20" s="30"/>
      <c r="G20" s="30"/>
      <c r="H20" s="30"/>
      <c r="I20" s="30"/>
      <c r="J20" s="30"/>
      <c r="K20" s="30"/>
    </row>
    <row r="21" spans="1:11" x14ac:dyDescent="0.35">
      <c r="A21" s="12"/>
      <c r="B21" s="12" t="s">
        <v>91</v>
      </c>
      <c r="C21" s="30">
        <f>SUM('Ann 13'!E9:E12)*100000</f>
        <v>3240934.5</v>
      </c>
      <c r="D21" s="30">
        <f>SUM('Ann 13'!E13:E16)*100000</f>
        <v>2831883</v>
      </c>
      <c r="E21" s="30">
        <f>SUM('Ann 13'!E17:E20)*100000</f>
        <v>2328435.0000000009</v>
      </c>
      <c r="F21" s="30">
        <f>SUM('Ann 13'!E21:E24)*100000</f>
        <v>1824987.0000000016</v>
      </c>
      <c r="G21" s="30">
        <f>SUM('Ann 13'!E25:E28)*100000</f>
        <v>1321539.0000000016</v>
      </c>
      <c r="H21" s="30">
        <f>SUM('Ann 13'!E29:E32)*100000</f>
        <v>818091.00000000151</v>
      </c>
      <c r="I21" s="30">
        <f>SUM('Ann 13'!E33:E36)*100000</f>
        <v>314643.00000000157</v>
      </c>
      <c r="J21" s="30">
        <v>0</v>
      </c>
      <c r="K21" s="30">
        <v>0</v>
      </c>
    </row>
    <row r="22" spans="1:11" x14ac:dyDescent="0.35">
      <c r="A22" s="12"/>
      <c r="B22" s="12" t="s">
        <v>167</v>
      </c>
      <c r="C22" s="30">
        <f>'Ann 1'!$C$25*100000*10%</f>
        <v>0</v>
      </c>
      <c r="D22" s="30">
        <f>'Ann 1'!$C$25*100000*10%</f>
        <v>0</v>
      </c>
      <c r="E22" s="30">
        <f>'Ann 1'!$C$25*100000*10%</f>
        <v>0</v>
      </c>
      <c r="F22" s="30">
        <f>'Ann 1'!$C$25*100000*10%</f>
        <v>0</v>
      </c>
      <c r="G22" s="30">
        <f>'Ann 1'!$C$25*100000*10%</f>
        <v>0</v>
      </c>
      <c r="H22" s="30">
        <f>'Ann 1'!$C$25*100000*10%</f>
        <v>0</v>
      </c>
      <c r="I22" s="30">
        <f>'Ann 1'!$C$25*100000*10%</f>
        <v>0</v>
      </c>
      <c r="J22" s="30">
        <f>'Ann 1'!$C$25*100000*10%</f>
        <v>0</v>
      </c>
      <c r="K22" s="30">
        <f>'Ann 1'!$C$25*100000*10%</f>
        <v>0</v>
      </c>
    </row>
    <row r="23" spans="1:11" x14ac:dyDescent="0.35">
      <c r="A23" s="12"/>
      <c r="B23" s="41" t="s">
        <v>101</v>
      </c>
      <c r="C23" s="30">
        <f>SUM(C21:C22)</f>
        <v>3240934.5</v>
      </c>
      <c r="D23" s="30">
        <f t="shared" ref="D23:K23" si="9">SUM(D21:D22)</f>
        <v>2831883</v>
      </c>
      <c r="E23" s="30">
        <f t="shared" si="9"/>
        <v>2328435.0000000009</v>
      </c>
      <c r="F23" s="30">
        <f t="shared" si="9"/>
        <v>1824987.0000000016</v>
      </c>
      <c r="G23" s="30">
        <f t="shared" si="9"/>
        <v>1321539.0000000016</v>
      </c>
      <c r="H23" s="30">
        <f t="shared" si="9"/>
        <v>818091.00000000151</v>
      </c>
      <c r="I23" s="30">
        <f t="shared" si="9"/>
        <v>314643.00000000157</v>
      </c>
      <c r="J23" s="30">
        <f t="shared" si="9"/>
        <v>0</v>
      </c>
      <c r="K23" s="30">
        <f t="shared" si="9"/>
        <v>0</v>
      </c>
    </row>
    <row r="24" spans="1:11" x14ac:dyDescent="0.35">
      <c r="A24" s="12"/>
      <c r="B24" s="12"/>
      <c r="C24" s="30"/>
      <c r="D24" s="30"/>
      <c r="E24" s="30"/>
      <c r="F24" s="30"/>
      <c r="G24" s="30"/>
      <c r="H24" s="30"/>
      <c r="I24" s="30"/>
      <c r="J24" s="30"/>
      <c r="K24" s="30"/>
    </row>
    <row r="25" spans="1:11" x14ac:dyDescent="0.35">
      <c r="A25" s="12"/>
      <c r="B25" s="12" t="s">
        <v>102</v>
      </c>
      <c r="C25" s="30">
        <f t="shared" ref="C25:K25" si="10">C18-C23</f>
        <v>66994665.5</v>
      </c>
      <c r="D25" s="30">
        <f t="shared" si="10"/>
        <v>68425889</v>
      </c>
      <c r="E25" s="30">
        <f t="shared" si="10"/>
        <v>69947395.039999992</v>
      </c>
      <c r="F25" s="30">
        <f t="shared" si="10"/>
        <v>71463145.842799991</v>
      </c>
      <c r="G25" s="30">
        <f t="shared" si="10"/>
        <v>72971366.176796004</v>
      </c>
      <c r="H25" s="30">
        <f t="shared" si="10"/>
        <v>74470137.49792172</v>
      </c>
      <c r="I25" s="30">
        <f t="shared" si="10"/>
        <v>75957387.956903726</v>
      </c>
      <c r="J25" s="30">
        <f t="shared" si="10"/>
        <v>77504735.474372178</v>
      </c>
      <c r="K25" s="30">
        <f t="shared" si="10"/>
        <v>78734405.047338873</v>
      </c>
    </row>
    <row r="26" spans="1:11" x14ac:dyDescent="0.35">
      <c r="A26" s="12"/>
      <c r="B26" s="12" t="s">
        <v>183</v>
      </c>
      <c r="C26" s="30">
        <f>'Ann 1'!C27*100000</f>
        <v>1400000</v>
      </c>
      <c r="D26" s="30">
        <v>0</v>
      </c>
      <c r="E26" s="30">
        <v>0</v>
      </c>
      <c r="F26" s="30">
        <v>0</v>
      </c>
      <c r="G26" s="30">
        <v>0</v>
      </c>
      <c r="H26" s="30">
        <v>0</v>
      </c>
      <c r="I26" s="30">
        <v>0</v>
      </c>
      <c r="J26" s="30">
        <v>0</v>
      </c>
      <c r="K26" s="30">
        <v>0</v>
      </c>
    </row>
    <row r="27" spans="1:11" x14ac:dyDescent="0.35">
      <c r="A27" s="12"/>
      <c r="B27" s="41" t="s">
        <v>103</v>
      </c>
      <c r="C27" s="30">
        <f>'Ann 9'!C12+'Ann 9'!D12+'Ann 9'!E12</f>
        <v>6930000</v>
      </c>
      <c r="D27" s="30">
        <f>'Ann 9'!C13+'Ann 9'!D13+'Ann 9'!E13</f>
        <v>6085500</v>
      </c>
      <c r="E27" s="30">
        <f>'Ann 9'!C14+'Ann 9'!D14+'Ann 9'!E14</f>
        <v>5348175</v>
      </c>
      <c r="F27" s="30">
        <f>'Ann 9'!C15+'Ann 9'!D15+'Ann 9'!E15</f>
        <v>4703898.75</v>
      </c>
      <c r="G27" s="30">
        <f>'Ann 9'!C16+'Ann 9'!D16+'Ann 9'!E16</f>
        <v>4140468.9375</v>
      </c>
      <c r="H27" s="30">
        <f>'Ann 9'!C17+'Ann 9'!D17+'Ann 9'!E17</f>
        <v>3647338.0968749998</v>
      </c>
      <c r="I27" s="30">
        <f>'Ann 9'!C18+'Ann 9'!D18+'Ann 9'!E18</f>
        <v>3215382.9323437503</v>
      </c>
      <c r="J27" s="30">
        <f>'Ann 9'!C19+'Ann 9'!D19+'Ann 9'!E19</f>
        <v>2836706.4874921879</v>
      </c>
      <c r="K27" s="30">
        <f>'Ann 9'!C20+'Ann 9'!D20+'Ann 9'!E20</f>
        <v>2504468.4098683596</v>
      </c>
    </row>
    <row r="28" spans="1:11" x14ac:dyDescent="0.35">
      <c r="A28" s="12"/>
      <c r="B28" s="41" t="s">
        <v>104</v>
      </c>
      <c r="C28" s="30">
        <f>C25-C26-C27</f>
        <v>58664665.5</v>
      </c>
      <c r="D28" s="30">
        <f t="shared" ref="D28:K28" si="11">D25-D26-D27</f>
        <v>62340389</v>
      </c>
      <c r="E28" s="30">
        <f t="shared" si="11"/>
        <v>64599220.039999992</v>
      </c>
      <c r="F28" s="30">
        <f t="shared" si="11"/>
        <v>66759247.092799991</v>
      </c>
      <c r="G28" s="30">
        <f t="shared" si="11"/>
        <v>68830897.239296004</v>
      </c>
      <c r="H28" s="30">
        <f t="shared" si="11"/>
        <v>70822799.401046723</v>
      </c>
      <c r="I28" s="30">
        <f t="shared" si="11"/>
        <v>72742005.024559975</v>
      </c>
      <c r="J28" s="30">
        <f t="shared" si="11"/>
        <v>74668028.98687999</v>
      </c>
      <c r="K28" s="30">
        <f t="shared" si="11"/>
        <v>76229936.637470514</v>
      </c>
    </row>
    <row r="29" spans="1:11" x14ac:dyDescent="0.35">
      <c r="A29" s="12"/>
      <c r="B29" s="41" t="s">
        <v>105</v>
      </c>
      <c r="C29" s="30">
        <f>'Ann 10'!B14</f>
        <v>18019399.649999999</v>
      </c>
      <c r="D29" s="30">
        <f>'Ann 10'!C14</f>
        <v>18702116.699999999</v>
      </c>
      <c r="E29" s="30">
        <f>'Ann 10'!D14</f>
        <v>19379766.011999998</v>
      </c>
      <c r="F29" s="30">
        <f>'Ann 10'!E14</f>
        <v>20027774.127839997</v>
      </c>
      <c r="G29" s="30">
        <f>'Ann 10'!F14</f>
        <v>20649269.171788801</v>
      </c>
      <c r="H29" s="30">
        <f>'Ann 10'!G14</f>
        <v>21246839.820314016</v>
      </c>
      <c r="I29" s="30">
        <f>'Ann 10'!H14</f>
        <v>21822601.507367991</v>
      </c>
      <c r="J29" s="30">
        <f>'Ann 10'!I14</f>
        <v>22400408.696063995</v>
      </c>
      <c r="K29" s="30">
        <f>'Ann 10'!J14</f>
        <v>22868980.991241153</v>
      </c>
    </row>
    <row r="30" spans="1:11" x14ac:dyDescent="0.35">
      <c r="A30" s="12"/>
      <c r="B30" s="41" t="s">
        <v>106</v>
      </c>
      <c r="C30" s="30">
        <f>C28-C29</f>
        <v>40645265.850000001</v>
      </c>
      <c r="D30" s="30">
        <f>D28-D29</f>
        <v>43638272.299999997</v>
      </c>
      <c r="E30" s="30">
        <f t="shared" ref="E30:K30" si="12">E28-E29</f>
        <v>45219454.027999997</v>
      </c>
      <c r="F30" s="30">
        <f t="shared" si="12"/>
        <v>46731472.964959994</v>
      </c>
      <c r="G30" s="30">
        <f t="shared" si="12"/>
        <v>48181628.067507207</v>
      </c>
      <c r="H30" s="30">
        <f t="shared" si="12"/>
        <v>49575959.580732703</v>
      </c>
      <c r="I30" s="30">
        <f t="shared" si="12"/>
        <v>50919403.517191984</v>
      </c>
      <c r="J30" s="30">
        <f t="shared" si="12"/>
        <v>52267620.290815994</v>
      </c>
      <c r="K30" s="30">
        <f t="shared" si="12"/>
        <v>53360955.646229357</v>
      </c>
    </row>
    <row r="31" spans="1:11" x14ac:dyDescent="0.35">
      <c r="A31" s="12"/>
      <c r="B31" s="41" t="s">
        <v>253</v>
      </c>
      <c r="C31" s="30">
        <f>C30*50%</f>
        <v>20322632.925000001</v>
      </c>
      <c r="D31" s="30">
        <f t="shared" ref="D31:K31" si="13">D30*50%</f>
        <v>21819136.149999999</v>
      </c>
      <c r="E31" s="30">
        <f t="shared" si="13"/>
        <v>22609727.013999999</v>
      </c>
      <c r="F31" s="30">
        <f t="shared" si="13"/>
        <v>23365736.482479997</v>
      </c>
      <c r="G31" s="30">
        <f t="shared" si="13"/>
        <v>24090814.033753604</v>
      </c>
      <c r="H31" s="30">
        <f t="shared" si="13"/>
        <v>24787979.790366352</v>
      </c>
      <c r="I31" s="30">
        <f t="shared" si="13"/>
        <v>25459701.758595992</v>
      </c>
      <c r="J31" s="30">
        <f t="shared" si="13"/>
        <v>26133810.145407997</v>
      </c>
      <c r="K31" s="30">
        <f t="shared" si="13"/>
        <v>26680477.823114678</v>
      </c>
    </row>
    <row r="32" spans="1:11" x14ac:dyDescent="0.35">
      <c r="A32" s="12"/>
      <c r="B32" s="41" t="s">
        <v>116</v>
      </c>
      <c r="C32" s="30">
        <f>C30-C31</f>
        <v>20322632.925000001</v>
      </c>
      <c r="D32" s="30">
        <f t="shared" ref="D32:K32" si="14">D30-D31</f>
        <v>21819136.149999999</v>
      </c>
      <c r="E32" s="30">
        <f t="shared" si="14"/>
        <v>22609727.013999999</v>
      </c>
      <c r="F32" s="30">
        <f t="shared" si="14"/>
        <v>23365736.482479997</v>
      </c>
      <c r="G32" s="30">
        <f t="shared" si="14"/>
        <v>24090814.033753604</v>
      </c>
      <c r="H32" s="30">
        <f t="shared" si="14"/>
        <v>24787979.790366352</v>
      </c>
      <c r="I32" s="30">
        <f t="shared" si="14"/>
        <v>25459701.758595992</v>
      </c>
      <c r="J32" s="30">
        <f t="shared" si="14"/>
        <v>26133810.145407997</v>
      </c>
      <c r="K32" s="30">
        <f t="shared" si="14"/>
        <v>26680477.823114678</v>
      </c>
    </row>
    <row r="34" spans="1:11" x14ac:dyDescent="0.35">
      <c r="A34" t="s">
        <v>277</v>
      </c>
    </row>
    <row r="35" spans="1:11" x14ac:dyDescent="0.35">
      <c r="A35" t="s">
        <v>178</v>
      </c>
    </row>
    <row r="36" spans="1:11" x14ac:dyDescent="0.35">
      <c r="B36" t="s">
        <v>177</v>
      </c>
      <c r="C36">
        <v>280000</v>
      </c>
      <c r="D36">
        <f>C36*1.05</f>
        <v>294000</v>
      </c>
      <c r="E36">
        <f t="shared" ref="E36:I36" si="15">D36*1.05</f>
        <v>308700</v>
      </c>
      <c r="F36">
        <f t="shared" si="15"/>
        <v>324135</v>
      </c>
      <c r="G36">
        <f t="shared" si="15"/>
        <v>340341.75</v>
      </c>
      <c r="H36">
        <f t="shared" si="15"/>
        <v>357358.83750000002</v>
      </c>
      <c r="I36">
        <f t="shared" si="15"/>
        <v>375226.77937500004</v>
      </c>
      <c r="J36">
        <f>I36</f>
        <v>375226.77937500004</v>
      </c>
      <c r="K36">
        <f>J36</f>
        <v>375226.77937500004</v>
      </c>
    </row>
    <row r="37" spans="1:11" x14ac:dyDescent="0.35">
      <c r="B37" t="s">
        <v>73</v>
      </c>
      <c r="C37">
        <f>C36*14</f>
        <v>3920000</v>
      </c>
      <c r="D37">
        <f t="shared" ref="D37:K37" si="16">D36*14</f>
        <v>4116000</v>
      </c>
      <c r="E37">
        <f t="shared" si="16"/>
        <v>4321800</v>
      </c>
      <c r="F37">
        <f t="shared" si="16"/>
        <v>4537890</v>
      </c>
      <c r="G37">
        <f t="shared" si="16"/>
        <v>4764784.5</v>
      </c>
      <c r="H37">
        <f t="shared" si="16"/>
        <v>5003023.7250000006</v>
      </c>
      <c r="I37">
        <f t="shared" si="16"/>
        <v>5253174.9112500008</v>
      </c>
      <c r="J37">
        <f t="shared" si="16"/>
        <v>5253174.9112500008</v>
      </c>
      <c r="K37">
        <f t="shared" si="16"/>
        <v>5253174.9112500008</v>
      </c>
    </row>
    <row r="38" spans="1:11" x14ac:dyDescent="0.35">
      <c r="A38" t="s">
        <v>276</v>
      </c>
    </row>
  </sheetData>
  <mergeCells count="1">
    <mergeCell ref="C3:K3"/>
  </mergeCells>
  <pageMargins left="0.7" right="0.7" top="0.75" bottom="0.75" header="0.3" footer="0.3"/>
  <pageSetup scale="59" fitToHeight="0" orientation="landscape" r:id="rId1"/>
  <ignoredErrors>
    <ignoredError sqref="D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30" workbookViewId="0">
      <selection activeCell="F50" sqref="F50"/>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117</v>
      </c>
    </row>
    <row r="3" spans="1:11" x14ac:dyDescent="0.35">
      <c r="A3" t="s">
        <v>118</v>
      </c>
    </row>
    <row r="5" spans="1:11" x14ac:dyDescent="0.35">
      <c r="A5" s="107" t="s">
        <v>37</v>
      </c>
      <c r="B5" s="107" t="s">
        <v>38</v>
      </c>
      <c r="C5" s="107" t="s">
        <v>48</v>
      </c>
      <c r="D5" s="107"/>
      <c r="E5" s="107"/>
      <c r="F5" s="107"/>
      <c r="G5" s="107"/>
      <c r="H5" s="107"/>
      <c r="I5" s="107"/>
      <c r="J5" s="107"/>
      <c r="K5" s="107"/>
    </row>
    <row r="6" spans="1:11" x14ac:dyDescent="0.35">
      <c r="A6" s="107"/>
      <c r="B6" s="107"/>
      <c r="C6" s="34" t="s">
        <v>39</v>
      </c>
      <c r="D6" s="34" t="s">
        <v>40</v>
      </c>
      <c r="E6" s="34" t="s">
        <v>41</v>
      </c>
      <c r="F6" s="34" t="s">
        <v>42</v>
      </c>
      <c r="G6" s="34" t="s">
        <v>43</v>
      </c>
      <c r="H6" s="34" t="s">
        <v>44</v>
      </c>
      <c r="I6" s="34" t="s">
        <v>45</v>
      </c>
      <c r="J6" s="34" t="s">
        <v>46</v>
      </c>
      <c r="K6" s="34" t="s">
        <v>47</v>
      </c>
    </row>
    <row r="7" spans="1:11" x14ac:dyDescent="0.35">
      <c r="A7" s="43" t="s">
        <v>152</v>
      </c>
      <c r="B7" s="44" t="s">
        <v>119</v>
      </c>
      <c r="C7" s="55"/>
      <c r="D7" s="55"/>
      <c r="E7" s="46"/>
      <c r="F7" s="46"/>
      <c r="G7" s="46"/>
      <c r="H7" s="46"/>
      <c r="I7" s="46"/>
      <c r="J7" s="46"/>
      <c r="K7" s="46"/>
    </row>
    <row r="8" spans="1:11" x14ac:dyDescent="0.35">
      <c r="A8" s="14">
        <v>1</v>
      </c>
      <c r="B8" s="5" t="s">
        <v>120</v>
      </c>
      <c r="C8" s="9"/>
      <c r="D8" s="9"/>
      <c r="E8" s="6"/>
      <c r="F8" s="6"/>
      <c r="G8" s="6"/>
      <c r="H8" s="6"/>
      <c r="I8" s="6"/>
      <c r="J8" s="6"/>
      <c r="K8" s="6"/>
    </row>
    <row r="9" spans="1:11" x14ac:dyDescent="0.35">
      <c r="A9" s="14"/>
      <c r="B9" s="5" t="s">
        <v>121</v>
      </c>
      <c r="C9" s="56">
        <f>'Ann 9'!C6+'Ann 9'!D6+'Ann 9'!E6</f>
        <v>59200000</v>
      </c>
      <c r="D9" s="58">
        <f>C11</f>
        <v>52270000</v>
      </c>
      <c r="E9" s="27">
        <f t="shared" ref="E9:K9" si="0">D11</f>
        <v>46184500</v>
      </c>
      <c r="F9" s="27">
        <f t="shared" si="0"/>
        <v>40836325</v>
      </c>
      <c r="G9" s="27">
        <f t="shared" si="0"/>
        <v>36132426.25</v>
      </c>
      <c r="H9" s="27">
        <f t="shared" si="0"/>
        <v>31991957.3125</v>
      </c>
      <c r="I9" s="27">
        <f t="shared" si="0"/>
        <v>28344619.215624999</v>
      </c>
      <c r="J9" s="27">
        <f t="shared" si="0"/>
        <v>25129236.283281248</v>
      </c>
      <c r="K9" s="27">
        <f t="shared" si="0"/>
        <v>22292529.795789059</v>
      </c>
    </row>
    <row r="10" spans="1:11" x14ac:dyDescent="0.35">
      <c r="A10" s="14"/>
      <c r="B10" s="5" t="s">
        <v>122</v>
      </c>
      <c r="C10" s="56">
        <f>'Ann 9'!C12+'Ann 9'!D12+'Ann 9'!E12</f>
        <v>6930000</v>
      </c>
      <c r="D10" s="58">
        <f>'Ann 9'!C13+'Ann 9'!D13+'Ann 9'!E13</f>
        <v>6085500</v>
      </c>
      <c r="E10" s="27">
        <f>'Ann 9'!C14+'Ann 9'!D14+'Ann 9'!E14</f>
        <v>5348175</v>
      </c>
      <c r="F10" s="27">
        <f>'Ann 9'!C15+'Ann 9'!D15+'Ann 9'!E15</f>
        <v>4703898.75</v>
      </c>
      <c r="G10" s="27">
        <f>'Ann 9'!C16+'Ann 9'!D16+'Ann 9'!E16</f>
        <v>4140468.9375</v>
      </c>
      <c r="H10" s="27">
        <f>'Ann 9'!C17+'Ann 9'!D17+'Ann 9'!E17</f>
        <v>3647338.0968749998</v>
      </c>
      <c r="I10" s="27">
        <f>+'Ann 9'!C18+'Ann 9'!D18+'Ann 9'!E18</f>
        <v>3215382.9323437503</v>
      </c>
      <c r="J10" s="27">
        <f>'Ann 9'!C19+'Ann 9'!D19+'Ann 9'!E19</f>
        <v>2836706.4874921879</v>
      </c>
      <c r="K10" s="27">
        <f>+'Ann 9'!C20+'Ann 9'!D20+'Ann 9'!E20</f>
        <v>2504468.4098683596</v>
      </c>
    </row>
    <row r="11" spans="1:11" x14ac:dyDescent="0.35">
      <c r="A11" s="14"/>
      <c r="B11" s="5" t="s">
        <v>123</v>
      </c>
      <c r="C11" s="56">
        <f>C9-C10</f>
        <v>52270000</v>
      </c>
      <c r="D11" s="58">
        <f>D9-D10</f>
        <v>46184500</v>
      </c>
      <c r="E11" s="27">
        <f t="shared" ref="E11:K11" si="1">E9-E10</f>
        <v>40836325</v>
      </c>
      <c r="F11" s="27">
        <f t="shared" si="1"/>
        <v>36132426.25</v>
      </c>
      <c r="G11" s="27">
        <f t="shared" si="1"/>
        <v>31991957.3125</v>
      </c>
      <c r="H11" s="27">
        <f t="shared" si="1"/>
        <v>28344619.215624999</v>
      </c>
      <c r="I11" s="27">
        <f t="shared" si="1"/>
        <v>25129236.283281248</v>
      </c>
      <c r="J11" s="27">
        <f t="shared" si="1"/>
        <v>22292529.795789059</v>
      </c>
      <c r="K11" s="27">
        <f t="shared" si="1"/>
        <v>19788061.3859207</v>
      </c>
    </row>
    <row r="12" spans="1:11" x14ac:dyDescent="0.35">
      <c r="A12" s="14">
        <v>3</v>
      </c>
      <c r="B12" s="5" t="s">
        <v>124</v>
      </c>
      <c r="C12" s="56">
        <f>'Ann 4'!C17*30/330</f>
        <v>8181818.1818181816</v>
      </c>
      <c r="D12" s="56">
        <f>'Ann 4'!D17*30/330</f>
        <v>8345454.5454545459</v>
      </c>
      <c r="E12" s="56">
        <f>'Ann 4'!E17*30/330</f>
        <v>8512363.6363636367</v>
      </c>
      <c r="F12" s="56">
        <f>'Ann 4'!F17*30/330</f>
        <v>8682610.9090909082</v>
      </c>
      <c r="G12" s="56">
        <f>'Ann 4'!G17*30/330</f>
        <v>8856263.127272727</v>
      </c>
      <c r="H12" s="56">
        <f>'Ann 4'!H17*30/330</f>
        <v>9033388.3898181822</v>
      </c>
      <c r="I12" s="56">
        <f>'Ann 4'!I17*30/330</f>
        <v>9214056.1576145459</v>
      </c>
      <c r="J12" s="56">
        <f>'Ann 4'!J17*30/330</f>
        <v>9398337.2807668373</v>
      </c>
      <c r="K12" s="56">
        <f>'Ann 4'!K17*30/330</f>
        <v>9586304.0263821743</v>
      </c>
    </row>
    <row r="13" spans="1:11" x14ac:dyDescent="0.35">
      <c r="A13" s="14">
        <v>4</v>
      </c>
      <c r="B13" s="5" t="s">
        <v>125</v>
      </c>
      <c r="C13" s="57">
        <f>'Cash flows'!C20</f>
        <v>18771851.106818173</v>
      </c>
      <c r="D13" s="57">
        <f>'Cash flows'!D20</f>
        <v>38214983.256818168</v>
      </c>
      <c r="E13" s="57">
        <f>'Cash flows'!E20</f>
        <v>57712977.445363611</v>
      </c>
      <c r="F13" s="57">
        <f>'Cash flows'!F20</f>
        <v>77324543.668243587</v>
      </c>
      <c r="G13" s="57">
        <f>'Cash flows'!G20</f>
        <v>97099858.690134272</v>
      </c>
      <c r="H13" s="57">
        <f>'Cash flows'!H20</f>
        <v>117081592.96028456</v>
      </c>
      <c r="I13" s="57">
        <f>'Cash flows'!I20</f>
        <v>137305984.19143867</v>
      </c>
      <c r="J13" s="57">
        <f>'Cash flows'!J20</f>
        <v>166219427.53308013</v>
      </c>
      <c r="K13" s="57">
        <f>'Cash flows'!K20</f>
        <v>195350676.58934242</v>
      </c>
    </row>
    <row r="14" spans="1:11" x14ac:dyDescent="0.35">
      <c r="A14" s="14"/>
      <c r="B14" s="5" t="s">
        <v>133</v>
      </c>
      <c r="C14" s="56">
        <f t="shared" ref="C14:K14" si="2">SUM(C11:C13)</f>
        <v>79223669.288636357</v>
      </c>
      <c r="D14" s="56">
        <f t="shared" si="2"/>
        <v>92744937.802272707</v>
      </c>
      <c r="E14" s="47">
        <f t="shared" si="2"/>
        <v>107061666.08172725</v>
      </c>
      <c r="F14" s="47">
        <f t="shared" si="2"/>
        <v>122139580.82733449</v>
      </c>
      <c r="G14" s="47">
        <f t="shared" si="2"/>
        <v>137948079.12990701</v>
      </c>
      <c r="H14" s="47">
        <f t="shared" si="2"/>
        <v>154459600.56572774</v>
      </c>
      <c r="I14" s="47">
        <f t="shared" si="2"/>
        <v>171649276.63233447</v>
      </c>
      <c r="J14" s="47">
        <f t="shared" si="2"/>
        <v>197910294.60963604</v>
      </c>
      <c r="K14" s="47">
        <f t="shared" si="2"/>
        <v>224725042.0016453</v>
      </c>
    </row>
    <row r="15" spans="1:11" x14ac:dyDescent="0.35">
      <c r="A15" s="14"/>
      <c r="B15" s="5"/>
      <c r="C15" s="56"/>
      <c r="D15" s="56"/>
      <c r="E15" s="47"/>
      <c r="F15" s="47"/>
      <c r="G15" s="47"/>
      <c r="H15" s="47"/>
      <c r="I15" s="47"/>
      <c r="J15" s="47"/>
      <c r="K15" s="47"/>
    </row>
    <row r="16" spans="1:11" x14ac:dyDescent="0.35">
      <c r="A16" s="14" t="s">
        <v>153</v>
      </c>
      <c r="B16" s="48" t="s">
        <v>126</v>
      </c>
      <c r="C16" s="9"/>
      <c r="D16" s="9"/>
      <c r="E16" s="6"/>
      <c r="F16" s="6"/>
      <c r="G16" s="6"/>
      <c r="H16" s="6"/>
      <c r="I16" s="6"/>
      <c r="J16" s="6"/>
      <c r="K16" s="6"/>
    </row>
    <row r="17" spans="1:13" x14ac:dyDescent="0.35">
      <c r="A17" s="14">
        <v>1</v>
      </c>
      <c r="B17" s="5" t="s">
        <v>127</v>
      </c>
      <c r="C17" s="57">
        <f>'Ann 2'!C4*100000</f>
        <v>6060000</v>
      </c>
      <c r="D17" s="57">
        <f>C20</f>
        <v>26382632.925000001</v>
      </c>
      <c r="E17" s="18">
        <f t="shared" ref="E17:K17" si="3">D20</f>
        <v>48201769.075000003</v>
      </c>
      <c r="F17" s="18">
        <f t="shared" si="3"/>
        <v>70811496.089000002</v>
      </c>
      <c r="G17" s="18">
        <f t="shared" si="3"/>
        <v>94177232.571480006</v>
      </c>
      <c r="H17" s="18">
        <f t="shared" si="3"/>
        <v>118268046.60523361</v>
      </c>
      <c r="I17" s="18">
        <f t="shared" si="3"/>
        <v>143056026.39559996</v>
      </c>
      <c r="J17" s="18">
        <f t="shared" si="3"/>
        <v>168515728.15419596</v>
      </c>
      <c r="K17" s="18">
        <f t="shared" si="3"/>
        <v>194649538.29960397</v>
      </c>
    </row>
    <row r="18" spans="1:13" x14ac:dyDescent="0.35">
      <c r="A18" s="14"/>
      <c r="B18" s="5" t="s">
        <v>128</v>
      </c>
      <c r="C18" s="57">
        <f>'Ann 4'!C32</f>
        <v>20322632.925000001</v>
      </c>
      <c r="D18" s="57">
        <f>'Ann 4'!D32</f>
        <v>21819136.149999999</v>
      </c>
      <c r="E18" s="18">
        <f>'Ann 4'!E32</f>
        <v>22609727.013999999</v>
      </c>
      <c r="F18" s="18">
        <f>'Ann 4'!F32</f>
        <v>23365736.482479997</v>
      </c>
      <c r="G18" s="18">
        <f>'Ann 4'!G32</f>
        <v>24090814.033753604</v>
      </c>
      <c r="H18" s="18">
        <f>'Ann 4'!H32</f>
        <v>24787979.790366352</v>
      </c>
      <c r="I18" s="18">
        <f>'Ann 4'!I32</f>
        <v>25459701.758595992</v>
      </c>
      <c r="J18" s="18">
        <f>'Ann 4'!J32</f>
        <v>26133810.145407997</v>
      </c>
      <c r="K18" s="18">
        <f>'Ann 4'!K32</f>
        <v>26680477.823114678</v>
      </c>
    </row>
    <row r="19" spans="1:13" x14ac:dyDescent="0.35">
      <c r="A19" s="14"/>
      <c r="B19" s="5" t="s">
        <v>129</v>
      </c>
      <c r="C19" s="57">
        <v>0</v>
      </c>
      <c r="D19" s="57">
        <v>0</v>
      </c>
      <c r="E19" s="18">
        <v>0</v>
      </c>
      <c r="F19" s="18">
        <v>0</v>
      </c>
      <c r="G19" s="18">
        <v>0</v>
      </c>
      <c r="H19" s="18">
        <v>0</v>
      </c>
      <c r="I19" s="18">
        <v>0</v>
      </c>
      <c r="J19" s="18">
        <v>0</v>
      </c>
      <c r="K19" s="18">
        <v>0</v>
      </c>
    </row>
    <row r="20" spans="1:13" x14ac:dyDescent="0.35">
      <c r="A20" s="14"/>
      <c r="B20" s="5" t="s">
        <v>130</v>
      </c>
      <c r="C20" s="57">
        <f>C17+C18</f>
        <v>26382632.925000001</v>
      </c>
      <c r="D20" s="57">
        <f t="shared" ref="D20:K20" si="4">D17+D18</f>
        <v>48201769.075000003</v>
      </c>
      <c r="E20" s="18">
        <f t="shared" si="4"/>
        <v>70811496.089000002</v>
      </c>
      <c r="F20" s="18">
        <f t="shared" si="4"/>
        <v>94177232.571480006</v>
      </c>
      <c r="G20" s="18">
        <f t="shared" si="4"/>
        <v>118268046.60523361</v>
      </c>
      <c r="H20" s="18">
        <f t="shared" si="4"/>
        <v>143056026.39559996</v>
      </c>
      <c r="I20" s="18">
        <f t="shared" si="4"/>
        <v>168515728.15419596</v>
      </c>
      <c r="J20" s="18">
        <f t="shared" si="4"/>
        <v>194649538.29960397</v>
      </c>
      <c r="K20" s="18">
        <f t="shared" si="4"/>
        <v>221330016.12271863</v>
      </c>
    </row>
    <row r="21" spans="1:13" x14ac:dyDescent="0.35">
      <c r="A21" s="14">
        <v>2</v>
      </c>
      <c r="B21" s="5" t="s">
        <v>131</v>
      </c>
      <c r="C21" s="57">
        <f>'Ann 13'!C13*100000</f>
        <v>50344600</v>
      </c>
      <c r="D21" s="57">
        <f>'Ann 13'!C17*100000</f>
        <v>41953800.000000015</v>
      </c>
      <c r="E21" s="57">
        <f>'Ann 13'!C21*100000</f>
        <v>33563000.000000022</v>
      </c>
      <c r="F21" s="57">
        <f>'Ann 13'!C25*100000</f>
        <v>25172200.00000003</v>
      </c>
      <c r="G21" s="18">
        <f>('Ann 13'!C28-'Ann 13'!D28)*100000</f>
        <v>16781400.000000026</v>
      </c>
      <c r="H21" s="18">
        <f>('Ann 13'!C32-'Ann 13'!D32)*100000</f>
        <v>8390600.0000000261</v>
      </c>
      <c r="I21" s="18">
        <v>0</v>
      </c>
      <c r="J21" s="18">
        <v>0</v>
      </c>
      <c r="K21" s="18">
        <v>0</v>
      </c>
    </row>
    <row r="22" spans="1:13" x14ac:dyDescent="0.35">
      <c r="A22" s="14">
        <v>3</v>
      </c>
      <c r="B22" s="59" t="s">
        <v>166</v>
      </c>
      <c r="C22" s="57">
        <f>'Ann 2'!$C$7*100000</f>
        <v>0</v>
      </c>
      <c r="D22" s="57">
        <f>'Ann 2'!$C$7*100000</f>
        <v>0</v>
      </c>
      <c r="E22" s="57">
        <f>'Ann 2'!$C$7*100000</f>
        <v>0</v>
      </c>
      <c r="F22" s="57">
        <f>'Ann 2'!$C$7*100000</f>
        <v>0</v>
      </c>
      <c r="G22" s="57">
        <f>'Ann 2'!$C$7*100000</f>
        <v>0</v>
      </c>
      <c r="H22" s="57">
        <f>'Ann 2'!$C$7*100000</f>
        <v>0</v>
      </c>
      <c r="I22" s="57">
        <f>'Ann 2'!$C$7*100000</f>
        <v>0</v>
      </c>
      <c r="J22" s="57">
        <f>'Ann 2'!$C$7*100000</f>
        <v>0</v>
      </c>
      <c r="K22" s="57">
        <f>'Ann 2'!$C$7*100000</f>
        <v>0</v>
      </c>
    </row>
    <row r="23" spans="1:13" x14ac:dyDescent="0.35">
      <c r="A23" s="14">
        <v>4</v>
      </c>
      <c r="B23" s="59" t="s">
        <v>161</v>
      </c>
      <c r="C23" s="57">
        <f>('Ann 4'!C9+'Ann 4'!C13)*60/330</f>
        <v>2496436.3636363638</v>
      </c>
      <c r="D23" s="57">
        <f>('Ann 4'!D9+'Ann 4'!D13)*60/330</f>
        <v>2589368.7272727271</v>
      </c>
      <c r="E23" s="57">
        <f>('Ann 4'!E9+'Ann 4'!E13)*60/330</f>
        <v>2687169.9927272727</v>
      </c>
      <c r="F23" s="57">
        <f>('Ann 4'!F9+'Ann 4'!F13)*60/330</f>
        <v>2790148.2558545456</v>
      </c>
      <c r="G23" s="57">
        <f>('Ann 4'!G9+'Ann 4'!G13)*60/330</f>
        <v>2898632.5246734549</v>
      </c>
      <c r="H23" s="57">
        <f>('Ann 4'!H9+'Ann 4'!H13)*60/330</f>
        <v>3012974.1701278696</v>
      </c>
      <c r="I23" s="57">
        <f>('Ann 4'!I9+'Ann 4'!I13)*60/330</f>
        <v>3133548.4781386387</v>
      </c>
      <c r="J23" s="57">
        <f>('Ann 4'!J9+'Ann 4'!J13)*60/330</f>
        <v>3260756.3100321977</v>
      </c>
      <c r="K23" s="57">
        <f>('Ann 4'!K9+'Ann 4'!K13)*60/330</f>
        <v>3395025.8789267838</v>
      </c>
    </row>
    <row r="24" spans="1:13" x14ac:dyDescent="0.35">
      <c r="A24" s="14"/>
      <c r="B24" s="5" t="s">
        <v>132</v>
      </c>
      <c r="C24" s="56">
        <f t="shared" ref="C24:K24" si="5">SUM(C20:C23)</f>
        <v>79223669.288636357</v>
      </c>
      <c r="D24" s="56">
        <f t="shared" si="5"/>
        <v>92744937.802272752</v>
      </c>
      <c r="E24" s="56">
        <f t="shared" si="5"/>
        <v>107061666.0817273</v>
      </c>
      <c r="F24" s="56">
        <f t="shared" si="5"/>
        <v>122139580.82733458</v>
      </c>
      <c r="G24" s="56">
        <f t="shared" si="5"/>
        <v>137948079.1299071</v>
      </c>
      <c r="H24" s="56">
        <f t="shared" si="5"/>
        <v>154459600.56572786</v>
      </c>
      <c r="I24" s="56">
        <f t="shared" si="5"/>
        <v>171649276.63233459</v>
      </c>
      <c r="J24" s="56">
        <f t="shared" si="5"/>
        <v>197910294.60963616</v>
      </c>
      <c r="K24" s="56">
        <f t="shared" si="5"/>
        <v>224725042.00164542</v>
      </c>
    </row>
    <row r="25" spans="1:13" x14ac:dyDescent="0.35">
      <c r="A25" s="14"/>
      <c r="B25" s="5"/>
      <c r="C25" s="56"/>
      <c r="D25" s="56"/>
      <c r="E25" s="56"/>
      <c r="F25" s="56"/>
      <c r="G25" s="56"/>
      <c r="H25" s="56"/>
      <c r="I25" s="56"/>
      <c r="J25" s="56"/>
      <c r="K25" s="56"/>
      <c r="L25" s="67"/>
      <c r="M25" s="5"/>
    </row>
    <row r="26" spans="1:13" x14ac:dyDescent="0.35">
      <c r="A26" s="60"/>
      <c r="B26" s="61" t="s">
        <v>134</v>
      </c>
      <c r="C26" s="62"/>
      <c r="D26" s="62"/>
      <c r="E26" s="63"/>
      <c r="F26" s="63"/>
      <c r="G26" s="63"/>
      <c r="H26" s="63"/>
      <c r="I26" s="63"/>
      <c r="J26" s="63"/>
      <c r="K26" s="63"/>
    </row>
    <row r="27" spans="1:13" x14ac:dyDescent="0.35">
      <c r="A27" s="14"/>
      <c r="B27" s="5" t="s">
        <v>135</v>
      </c>
      <c r="C27" s="56">
        <f t="shared" ref="C27:K27" si="6">SUM(C12:C13)</f>
        <v>26953669.288636357</v>
      </c>
      <c r="D27" s="56">
        <f t="shared" si="6"/>
        <v>46560437.802272715</v>
      </c>
      <c r="E27" s="47">
        <f t="shared" si="6"/>
        <v>66225341.081727251</v>
      </c>
      <c r="F27" s="47">
        <f t="shared" si="6"/>
        <v>86007154.577334493</v>
      </c>
      <c r="G27" s="47">
        <f t="shared" si="6"/>
        <v>105956121.817407</v>
      </c>
      <c r="H27" s="47">
        <f t="shared" si="6"/>
        <v>126114981.35010274</v>
      </c>
      <c r="I27" s="47">
        <f t="shared" si="6"/>
        <v>146520040.34905323</v>
      </c>
      <c r="J27" s="47">
        <f t="shared" si="6"/>
        <v>175617764.81384698</v>
      </c>
      <c r="K27" s="47">
        <f t="shared" si="6"/>
        <v>204936980.61572459</v>
      </c>
    </row>
    <row r="28" spans="1:13" x14ac:dyDescent="0.35">
      <c r="A28" s="14"/>
      <c r="B28" s="5" t="s">
        <v>136</v>
      </c>
      <c r="C28" s="56">
        <f>C23</f>
        <v>2496436.3636363638</v>
      </c>
      <c r="D28" s="56">
        <f t="shared" ref="D28:K28" si="7">D23</f>
        <v>2589368.7272727271</v>
      </c>
      <c r="E28" s="56">
        <f t="shared" si="7"/>
        <v>2687169.9927272727</v>
      </c>
      <c r="F28" s="56">
        <f t="shared" si="7"/>
        <v>2790148.2558545456</v>
      </c>
      <c r="G28" s="56">
        <f t="shared" si="7"/>
        <v>2898632.5246734549</v>
      </c>
      <c r="H28" s="56">
        <f t="shared" si="7"/>
        <v>3012974.1701278696</v>
      </c>
      <c r="I28" s="56">
        <f t="shared" si="7"/>
        <v>3133548.4781386387</v>
      </c>
      <c r="J28" s="56">
        <f t="shared" si="7"/>
        <v>3260756.3100321977</v>
      </c>
      <c r="K28" s="56">
        <f t="shared" si="7"/>
        <v>3395025.8789267838</v>
      </c>
    </row>
    <row r="29" spans="1:13" x14ac:dyDescent="0.35">
      <c r="A29" s="14"/>
      <c r="B29" s="5" t="s">
        <v>141</v>
      </c>
      <c r="C29" s="9">
        <f>C27/C28</f>
        <v>10.796858145975351</v>
      </c>
      <c r="D29" s="9">
        <f>D27/D28</f>
        <v>17.981385699097732</v>
      </c>
      <c r="E29" s="6">
        <f t="shared" ref="E29:K29" si="8">E27/E28</f>
        <v>24.645013624357116</v>
      </c>
      <c r="F29" s="6">
        <f t="shared" si="8"/>
        <v>30.825299120527511</v>
      </c>
      <c r="G29" s="6">
        <f t="shared" si="8"/>
        <v>36.553830440905394</v>
      </c>
      <c r="H29" s="6">
        <f t="shared" si="8"/>
        <v>41.857305847647034</v>
      </c>
      <c r="I29" s="6">
        <f t="shared" si="8"/>
        <v>46.758504414805707</v>
      </c>
      <c r="J29" s="6">
        <f t="shared" si="8"/>
        <v>53.857985116377151</v>
      </c>
      <c r="K29" s="6">
        <f t="shared" si="8"/>
        <v>60.36389350896733</v>
      </c>
    </row>
    <row r="30" spans="1:13" x14ac:dyDescent="0.35">
      <c r="A30" s="14"/>
      <c r="B30" s="59" t="s">
        <v>154</v>
      </c>
      <c r="C30" s="9"/>
      <c r="D30" s="9"/>
      <c r="E30" s="6"/>
      <c r="F30" s="6">
        <f>AVERAGE(C29:K29)</f>
        <v>35.960008435406706</v>
      </c>
      <c r="G30" s="6"/>
      <c r="H30" s="6"/>
      <c r="I30" s="6"/>
      <c r="J30" s="6"/>
      <c r="K30" s="6"/>
    </row>
    <row r="31" spans="1:13" x14ac:dyDescent="0.35">
      <c r="A31" s="14"/>
      <c r="B31" s="5"/>
      <c r="C31" s="9"/>
      <c r="D31" s="9"/>
      <c r="E31" s="6"/>
      <c r="F31" s="6"/>
      <c r="G31" s="6"/>
      <c r="H31" s="6"/>
      <c r="I31" s="6"/>
      <c r="J31" s="6"/>
      <c r="K31" s="6"/>
    </row>
    <row r="32" spans="1:13" x14ac:dyDescent="0.35">
      <c r="A32" s="60"/>
      <c r="B32" s="61" t="s">
        <v>138</v>
      </c>
      <c r="C32" s="62"/>
      <c r="D32" s="62"/>
      <c r="E32" s="63"/>
      <c r="F32" s="63"/>
      <c r="G32" s="63"/>
      <c r="H32" s="63"/>
      <c r="I32" s="63"/>
      <c r="J32" s="63"/>
      <c r="K32" s="63"/>
    </row>
    <row r="33" spans="1:11" x14ac:dyDescent="0.35">
      <c r="A33" s="14"/>
      <c r="B33" s="5" t="s">
        <v>139</v>
      </c>
      <c r="C33" s="56">
        <f>C21+C22</f>
        <v>50344600</v>
      </c>
      <c r="D33" s="56">
        <f t="shared" ref="D33:K33" si="9">D21+D22</f>
        <v>41953800.000000015</v>
      </c>
      <c r="E33" s="56">
        <f t="shared" si="9"/>
        <v>33563000.000000022</v>
      </c>
      <c r="F33" s="56">
        <f t="shared" si="9"/>
        <v>25172200.00000003</v>
      </c>
      <c r="G33" s="56">
        <f t="shared" si="9"/>
        <v>16781400.000000026</v>
      </c>
      <c r="H33" s="56">
        <f t="shared" si="9"/>
        <v>8390600.0000000261</v>
      </c>
      <c r="I33" s="56">
        <f t="shared" si="9"/>
        <v>0</v>
      </c>
      <c r="J33" s="56">
        <f t="shared" si="9"/>
        <v>0</v>
      </c>
      <c r="K33" s="56">
        <f t="shared" si="9"/>
        <v>0</v>
      </c>
    </row>
    <row r="34" spans="1:11" x14ac:dyDescent="0.35">
      <c r="A34" s="14"/>
      <c r="B34" s="5" t="s">
        <v>140</v>
      </c>
      <c r="C34" s="56">
        <f t="shared" ref="C34:K34" si="10">C20</f>
        <v>26382632.925000001</v>
      </c>
      <c r="D34" s="56">
        <f t="shared" si="10"/>
        <v>48201769.075000003</v>
      </c>
      <c r="E34" s="47">
        <f t="shared" si="10"/>
        <v>70811496.089000002</v>
      </c>
      <c r="F34" s="47">
        <f t="shared" si="10"/>
        <v>94177232.571480006</v>
      </c>
      <c r="G34" s="47">
        <f t="shared" si="10"/>
        <v>118268046.60523361</v>
      </c>
      <c r="H34" s="47">
        <f t="shared" si="10"/>
        <v>143056026.39559996</v>
      </c>
      <c r="I34" s="47">
        <f t="shared" si="10"/>
        <v>168515728.15419596</v>
      </c>
      <c r="J34" s="47">
        <f t="shared" si="10"/>
        <v>194649538.29960397</v>
      </c>
      <c r="K34" s="47">
        <f t="shared" si="10"/>
        <v>221330016.12271863</v>
      </c>
    </row>
    <row r="35" spans="1:11" x14ac:dyDescent="0.35">
      <c r="A35" s="14"/>
      <c r="B35" s="5" t="s">
        <v>141</v>
      </c>
      <c r="C35" s="9">
        <f>C33/C34</f>
        <v>1.9082477531002526</v>
      </c>
      <c r="D35" s="9">
        <f t="shared" ref="D35:K35" si="11">D33/D34</f>
        <v>0.87037884304042035</v>
      </c>
      <c r="E35" s="6">
        <f t="shared" si="11"/>
        <v>0.47397671075634518</v>
      </c>
      <c r="F35" s="6">
        <f t="shared" si="11"/>
        <v>0.2672854076583156</v>
      </c>
      <c r="G35" s="6">
        <f t="shared" si="11"/>
        <v>0.14189293289010332</v>
      </c>
      <c r="H35" s="6">
        <f t="shared" si="11"/>
        <v>5.8652544820426381E-2</v>
      </c>
      <c r="I35" s="6">
        <f t="shared" si="11"/>
        <v>0</v>
      </c>
      <c r="J35" s="6">
        <f t="shared" si="11"/>
        <v>0</v>
      </c>
      <c r="K35" s="6">
        <f t="shared" si="11"/>
        <v>0</v>
      </c>
    </row>
    <row r="36" spans="1:11" x14ac:dyDescent="0.35">
      <c r="A36" s="14"/>
      <c r="B36" s="59" t="s">
        <v>154</v>
      </c>
      <c r="C36" s="9"/>
      <c r="D36" s="9"/>
      <c r="E36" s="6"/>
      <c r="F36" s="6">
        <f>AVERAGE(C35:K35)</f>
        <v>0.41338157691842931</v>
      </c>
      <c r="G36" s="6"/>
      <c r="H36" s="6"/>
      <c r="I36" s="47"/>
      <c r="J36" s="47"/>
      <c r="K36" s="47"/>
    </row>
    <row r="37" spans="1:11" x14ac:dyDescent="0.35">
      <c r="A37" s="14"/>
      <c r="B37" s="5"/>
      <c r="C37" s="9"/>
      <c r="D37" s="9"/>
      <c r="E37" s="6"/>
      <c r="F37" s="6"/>
      <c r="G37" s="6"/>
      <c r="H37" s="6"/>
      <c r="I37" s="47"/>
      <c r="J37" s="47"/>
      <c r="K37" s="47"/>
    </row>
    <row r="38" spans="1:11" x14ac:dyDescent="0.35">
      <c r="A38" s="60"/>
      <c r="B38" s="61" t="s">
        <v>155</v>
      </c>
      <c r="C38" s="62"/>
      <c r="D38" s="62"/>
      <c r="E38" s="63"/>
      <c r="F38" s="63"/>
      <c r="G38" s="63"/>
      <c r="H38" s="63"/>
      <c r="I38" s="64"/>
      <c r="J38" s="64"/>
      <c r="K38" s="64"/>
    </row>
    <row r="39" spans="1:11" x14ac:dyDescent="0.35">
      <c r="A39" s="14"/>
      <c r="B39" s="59" t="s">
        <v>156</v>
      </c>
      <c r="C39" s="56">
        <f t="shared" ref="C39:K39" si="12">C11</f>
        <v>52270000</v>
      </c>
      <c r="D39" s="56">
        <f t="shared" si="12"/>
        <v>46184500</v>
      </c>
      <c r="E39" s="56">
        <f t="shared" si="12"/>
        <v>40836325</v>
      </c>
      <c r="F39" s="56">
        <f t="shared" si="12"/>
        <v>36132426.25</v>
      </c>
      <c r="G39" s="56">
        <f t="shared" si="12"/>
        <v>31991957.3125</v>
      </c>
      <c r="H39" s="56">
        <f t="shared" si="12"/>
        <v>28344619.215624999</v>
      </c>
      <c r="I39" s="56">
        <f t="shared" si="12"/>
        <v>25129236.283281248</v>
      </c>
      <c r="J39" s="56">
        <f t="shared" si="12"/>
        <v>22292529.795789059</v>
      </c>
      <c r="K39" s="56">
        <f t="shared" si="12"/>
        <v>19788061.3859207</v>
      </c>
    </row>
    <row r="40" spans="1:11" x14ac:dyDescent="0.35">
      <c r="A40" s="14"/>
      <c r="B40" s="59" t="s">
        <v>139</v>
      </c>
      <c r="C40" s="56">
        <f t="shared" ref="C40:K40" si="13">C21+C22</f>
        <v>50344600</v>
      </c>
      <c r="D40" s="56">
        <f t="shared" si="13"/>
        <v>41953800.000000015</v>
      </c>
      <c r="E40" s="56">
        <f t="shared" si="13"/>
        <v>33563000.000000022</v>
      </c>
      <c r="F40" s="56">
        <f t="shared" si="13"/>
        <v>25172200.00000003</v>
      </c>
      <c r="G40" s="56">
        <f t="shared" si="13"/>
        <v>16781400.000000026</v>
      </c>
      <c r="H40" s="56">
        <f t="shared" si="13"/>
        <v>8390600.0000000261</v>
      </c>
      <c r="I40" s="56">
        <f t="shared" si="13"/>
        <v>0</v>
      </c>
      <c r="J40" s="56">
        <f t="shared" si="13"/>
        <v>0</v>
      </c>
      <c r="K40" s="56">
        <f t="shared" si="13"/>
        <v>0</v>
      </c>
    </row>
    <row r="41" spans="1:11" x14ac:dyDescent="0.35">
      <c r="A41" s="14"/>
      <c r="B41" s="59" t="s">
        <v>150</v>
      </c>
      <c r="C41" s="9">
        <f>C39/C40</f>
        <v>1.0382444194610743</v>
      </c>
      <c r="D41" s="9">
        <f t="shared" ref="D41:G41" si="14">D39/D40</f>
        <v>1.100841878447244</v>
      </c>
      <c r="E41" s="9">
        <f t="shared" si="14"/>
        <v>1.2167066412418428</v>
      </c>
      <c r="F41" s="9">
        <f t="shared" si="14"/>
        <v>1.435409946289953</v>
      </c>
      <c r="G41" s="9">
        <f t="shared" si="14"/>
        <v>1.9063938236678675</v>
      </c>
      <c r="H41" s="56">
        <v>0</v>
      </c>
      <c r="I41" s="56">
        <v>0</v>
      </c>
      <c r="J41" s="56">
        <v>0</v>
      </c>
      <c r="K41" s="56">
        <v>0</v>
      </c>
    </row>
    <row r="42" spans="1:11" x14ac:dyDescent="0.35">
      <c r="A42" s="14"/>
      <c r="B42" s="59"/>
      <c r="C42" s="9"/>
      <c r="D42" s="9"/>
      <c r="E42" s="6"/>
      <c r="F42" s="6">
        <f>AVERAGE(C41:K41)</f>
        <v>0.74417741212310906</v>
      </c>
      <c r="G42" s="6"/>
      <c r="H42" s="6"/>
      <c r="I42" s="6"/>
      <c r="J42" s="6"/>
      <c r="K42" s="6"/>
    </row>
    <row r="43" spans="1:11" x14ac:dyDescent="0.35">
      <c r="A43" s="14"/>
      <c r="B43" s="5"/>
      <c r="C43" s="9"/>
      <c r="D43" s="9"/>
      <c r="E43" s="6"/>
      <c r="F43" s="6"/>
      <c r="G43" s="6"/>
      <c r="H43" s="6"/>
      <c r="I43" s="47"/>
      <c r="J43" s="47"/>
      <c r="K43" s="47"/>
    </row>
    <row r="44" spans="1:11" x14ac:dyDescent="0.35">
      <c r="A44" s="60"/>
      <c r="B44" s="61" t="s">
        <v>147</v>
      </c>
      <c r="C44" s="62"/>
      <c r="D44" s="62"/>
      <c r="E44" s="63"/>
      <c r="F44" s="63"/>
      <c r="G44" s="63"/>
      <c r="H44" s="63"/>
      <c r="I44" s="64"/>
      <c r="J44" s="64"/>
      <c r="K44" s="64"/>
    </row>
    <row r="45" spans="1:11" x14ac:dyDescent="0.35">
      <c r="A45" s="14"/>
      <c r="B45" s="5" t="s">
        <v>148</v>
      </c>
      <c r="C45" s="57">
        <f>'Ann 4'!C23</f>
        <v>3240934.5</v>
      </c>
      <c r="D45" s="57">
        <f>'Ann 4'!D23</f>
        <v>2831883</v>
      </c>
      <c r="E45" s="57">
        <f>'Ann 4'!E23</f>
        <v>2328435.0000000009</v>
      </c>
      <c r="F45" s="57">
        <f>'Ann 4'!F23</f>
        <v>1824987.0000000016</v>
      </c>
      <c r="G45" s="57">
        <f>'Ann 4'!G23</f>
        <v>1321539.0000000016</v>
      </c>
      <c r="H45" s="57">
        <f>'Ann 4'!H23</f>
        <v>818091.00000000151</v>
      </c>
      <c r="I45" s="57">
        <f>'Ann 4'!I23</f>
        <v>314643.00000000157</v>
      </c>
      <c r="J45" s="57">
        <f>'Ann 4'!J23</f>
        <v>0</v>
      </c>
      <c r="K45" s="57">
        <f>'Ann 4'!K23</f>
        <v>0</v>
      </c>
    </row>
    <row r="46" spans="1:11" x14ac:dyDescent="0.35">
      <c r="A46" s="14"/>
      <c r="B46" s="5" t="s">
        <v>151</v>
      </c>
      <c r="C46" s="57">
        <f>(SUM('Ann 13'!D9:D12)*100000)+('Ann 1'!$C$25*100000)</f>
        <v>4195400</v>
      </c>
      <c r="D46" s="57">
        <f>(SUM('Ann 13'!D13:D16)*100000)+('Ann 1'!$C$25*100000)</f>
        <v>8390800</v>
      </c>
      <c r="E46" s="57">
        <f>(SUM('Ann 13'!D17:D20)*100000)+('Ann 1'!$C$25*100000)</f>
        <v>8390800</v>
      </c>
      <c r="F46" s="57">
        <f>(SUM('Ann 13'!D21:D24)*100000)+('Ann 1'!$C$25*100000)</f>
        <v>8390800</v>
      </c>
      <c r="G46" s="57">
        <f>(SUM('Ann 13'!D25:D28)*100000)+('Ann 1'!$C$25*100000)</f>
        <v>8390800</v>
      </c>
      <c r="H46" s="57">
        <f>(SUM('Ann 13'!D29:D32)*100000)+('Ann 1'!$C$25*100000)</f>
        <v>8390800</v>
      </c>
      <c r="I46" s="57">
        <f>(SUM('Ann 13'!D33:D36)*100000)+('Ann 1'!$C$25*100000)</f>
        <v>8390600.0000000242</v>
      </c>
      <c r="J46" s="57">
        <f>(SUM('Ann 13'!D37:D37)*100000)+('Ann 1'!$C$25*100000)</f>
        <v>0</v>
      </c>
      <c r="K46" s="57">
        <f>(SUM('Ann 13'!D38:D39)*100000)+('Ann 1'!$C$25*100000)</f>
        <v>0</v>
      </c>
    </row>
    <row r="47" spans="1:11" x14ac:dyDescent="0.35">
      <c r="A47" s="14"/>
      <c r="B47" s="5" t="s">
        <v>8</v>
      </c>
      <c r="C47" s="57">
        <f>SUM(C45:C46)</f>
        <v>7436334.5</v>
      </c>
      <c r="D47" s="57">
        <f t="shared" ref="D47:K47" si="15">SUM(D45:D46)</f>
        <v>11222683</v>
      </c>
      <c r="E47" s="18">
        <f t="shared" si="15"/>
        <v>10719235</v>
      </c>
      <c r="F47" s="18">
        <f t="shared" si="15"/>
        <v>10215787.000000002</v>
      </c>
      <c r="G47" s="18">
        <f t="shared" si="15"/>
        <v>9712339.0000000019</v>
      </c>
      <c r="H47" s="18">
        <f t="shared" si="15"/>
        <v>9208891.0000000019</v>
      </c>
      <c r="I47" s="18">
        <f t="shared" si="15"/>
        <v>8705243.0000000261</v>
      </c>
      <c r="J47" s="18">
        <f t="shared" si="15"/>
        <v>0</v>
      </c>
      <c r="K47" s="18">
        <f t="shared" si="15"/>
        <v>0</v>
      </c>
    </row>
    <row r="48" spans="1:11" x14ac:dyDescent="0.35">
      <c r="A48" s="14"/>
      <c r="B48" s="5" t="s">
        <v>149</v>
      </c>
      <c r="C48" s="57">
        <f>'Ann 4'!C18</f>
        <v>70235600</v>
      </c>
      <c r="D48" s="57">
        <f>'Ann 4'!D18</f>
        <v>71257772</v>
      </c>
      <c r="E48" s="18">
        <f>'Ann 4'!E18</f>
        <v>72275830.039999992</v>
      </c>
      <c r="F48" s="18">
        <f>'Ann 4'!F18</f>
        <v>73288132.842799991</v>
      </c>
      <c r="G48" s="18">
        <f>'Ann 4'!G18</f>
        <v>74292905.176796004</v>
      </c>
      <c r="H48" s="18">
        <f>'Ann 4'!H18</f>
        <v>75288228.49792172</v>
      </c>
      <c r="I48" s="18">
        <f>'Ann 4'!I18</f>
        <v>76272030.956903726</v>
      </c>
      <c r="J48" s="18">
        <f>'Ann 4'!J18</f>
        <v>77504735.474372178</v>
      </c>
      <c r="K48" s="18">
        <f>'Ann 4'!K18</f>
        <v>78734405.047338873</v>
      </c>
    </row>
    <row r="49" spans="1:11" x14ac:dyDescent="0.35">
      <c r="A49" s="49"/>
      <c r="B49" s="50" t="s">
        <v>150</v>
      </c>
      <c r="C49" s="11">
        <f>C48/C47</f>
        <v>9.444922091656851</v>
      </c>
      <c r="D49" s="11">
        <f t="shared" ref="D49:H49" si="16">D48/D47</f>
        <v>6.3494417511391887</v>
      </c>
      <c r="E49" s="51">
        <f t="shared" si="16"/>
        <v>6.7426294917501099</v>
      </c>
      <c r="F49" s="51">
        <f t="shared" si="16"/>
        <v>7.1740075280347932</v>
      </c>
      <c r="G49" s="51">
        <f t="shared" si="16"/>
        <v>7.6493319659451746</v>
      </c>
      <c r="H49" s="51">
        <f t="shared" si="16"/>
        <v>8.1756020891029877</v>
      </c>
      <c r="I49" s="51">
        <v>0</v>
      </c>
      <c r="J49" s="51">
        <v>0</v>
      </c>
      <c r="K49" s="51">
        <v>0</v>
      </c>
    </row>
    <row r="50" spans="1:11" x14ac:dyDescent="0.35">
      <c r="A50" s="5"/>
      <c r="B50" s="59" t="s">
        <v>154</v>
      </c>
      <c r="C50" s="5"/>
      <c r="D50" s="5"/>
      <c r="E50" s="5"/>
      <c r="F50" s="5">
        <f>AVERAGE(C49:G49)</f>
        <v>7.4720665657052239</v>
      </c>
      <c r="G50" s="5"/>
      <c r="H50" s="5"/>
      <c r="I50" s="5"/>
      <c r="J50" s="5"/>
      <c r="K50" s="5"/>
    </row>
    <row r="51" spans="1:11" x14ac:dyDescent="0.35">
      <c r="I51" s="16"/>
      <c r="J51" s="16"/>
      <c r="K51" s="16"/>
    </row>
    <row r="53" spans="1:11" x14ac:dyDescent="0.35">
      <c r="A53" t="s">
        <v>233</v>
      </c>
    </row>
    <row r="54" spans="1:11" x14ac:dyDescent="0.35">
      <c r="A54" t="s">
        <v>137</v>
      </c>
    </row>
  </sheetData>
  <mergeCells count="3">
    <mergeCell ref="A5:A6"/>
    <mergeCell ref="B5:B6"/>
    <mergeCell ref="C5:K5"/>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236</v>
      </c>
    </row>
    <row r="3" spans="1:3" x14ac:dyDescent="0.35">
      <c r="A3" s="3" t="s">
        <v>239</v>
      </c>
    </row>
    <row r="5" spans="1:3" x14ac:dyDescent="0.35">
      <c r="A5" s="22" t="s">
        <v>237</v>
      </c>
    </row>
    <row r="6" spans="1:3" x14ac:dyDescent="0.35">
      <c r="A6" s="23" t="s">
        <v>245</v>
      </c>
    </row>
    <row r="7" spans="1:3" x14ac:dyDescent="0.35">
      <c r="A7" t="s">
        <v>238</v>
      </c>
      <c r="B7">
        <v>5</v>
      </c>
      <c r="C7" t="s">
        <v>242</v>
      </c>
    </row>
    <row r="8" spans="1:3" x14ac:dyDescent="0.35">
      <c r="A8" t="s">
        <v>240</v>
      </c>
      <c r="B8">
        <v>30</v>
      </c>
      <c r="C8" t="s">
        <v>243</v>
      </c>
    </row>
    <row r="9" spans="1:3" x14ac:dyDescent="0.35">
      <c r="A9" t="s">
        <v>241</v>
      </c>
      <c r="B9">
        <f>B8*3000*20/B7</f>
        <v>360000</v>
      </c>
      <c r="C9" t="s">
        <v>244</v>
      </c>
    </row>
    <row r="11" spans="1:3" x14ac:dyDescent="0.35">
      <c r="A11" s="23" t="s">
        <v>246</v>
      </c>
    </row>
    <row r="12" spans="1:3" x14ac:dyDescent="0.35">
      <c r="A12" s="23" t="s">
        <v>238</v>
      </c>
      <c r="B12">
        <v>0.5</v>
      </c>
      <c r="C12" t="s">
        <v>247</v>
      </c>
    </row>
    <row r="13" spans="1:3" x14ac:dyDescent="0.35">
      <c r="A13" s="23" t="s">
        <v>248</v>
      </c>
      <c r="B13">
        <f>B12*3000*30</f>
        <v>45000</v>
      </c>
      <c r="C13" t="s">
        <v>249</v>
      </c>
    </row>
    <row r="15" spans="1:3" x14ac:dyDescent="0.35">
      <c r="A15" t="s">
        <v>250</v>
      </c>
      <c r="B15">
        <f>B13+B9</f>
        <v>405000</v>
      </c>
    </row>
    <row r="16" spans="1:3" x14ac:dyDescent="0.35">
      <c r="A16" t="s">
        <v>251</v>
      </c>
      <c r="B16">
        <v>75</v>
      </c>
    </row>
    <row r="17" spans="1:2" x14ac:dyDescent="0.35">
      <c r="A17" t="s">
        <v>252</v>
      </c>
      <c r="B17" s="98">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D16" sqref="D16"/>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158</v>
      </c>
    </row>
    <row r="3" spans="1:5" x14ac:dyDescent="0.35">
      <c r="A3" s="3" t="s">
        <v>159</v>
      </c>
    </row>
    <row r="5" spans="1:5" x14ac:dyDescent="0.35">
      <c r="A5" s="34" t="s">
        <v>52</v>
      </c>
      <c r="B5" s="34" t="s">
        <v>53</v>
      </c>
      <c r="C5" s="34" t="s">
        <v>54</v>
      </c>
      <c r="D5" s="34" t="s">
        <v>55</v>
      </c>
      <c r="E5" s="34" t="s">
        <v>232</v>
      </c>
    </row>
    <row r="6" spans="1:5" x14ac:dyDescent="0.35">
      <c r="A6" s="41" t="s">
        <v>56</v>
      </c>
      <c r="B6" s="41" t="s">
        <v>182</v>
      </c>
      <c r="C6" s="41">
        <v>8</v>
      </c>
      <c r="D6" s="30">
        <v>20000</v>
      </c>
      <c r="E6" s="30">
        <f>D6*C6*12</f>
        <v>1920000</v>
      </c>
    </row>
    <row r="7" spans="1:5" x14ac:dyDescent="0.35">
      <c r="A7" s="12" t="s">
        <v>57</v>
      </c>
      <c r="B7" s="12" t="s">
        <v>60</v>
      </c>
      <c r="C7" s="12">
        <v>1</v>
      </c>
      <c r="D7" s="30">
        <v>29000</v>
      </c>
      <c r="E7" s="30">
        <f>D7*C7*12</f>
        <v>348000</v>
      </c>
    </row>
    <row r="8" spans="1:5" x14ac:dyDescent="0.35">
      <c r="A8" s="12" t="s">
        <v>61</v>
      </c>
      <c r="B8" s="12" t="s">
        <v>231</v>
      </c>
      <c r="C8" s="12">
        <v>9</v>
      </c>
      <c r="D8" s="30">
        <v>12000</v>
      </c>
      <c r="E8" s="30">
        <f>D8*C8*12</f>
        <v>1296000</v>
      </c>
    </row>
    <row r="9" spans="1:5" x14ac:dyDescent="0.35">
      <c r="A9" s="12" t="s">
        <v>230</v>
      </c>
      <c r="B9" s="12" t="s">
        <v>160</v>
      </c>
      <c r="C9" s="12">
        <v>3</v>
      </c>
      <c r="D9" s="30">
        <v>10500</v>
      </c>
      <c r="E9" s="30">
        <f>D9*C9*12</f>
        <v>378000</v>
      </c>
    </row>
    <row r="10" spans="1:5" x14ac:dyDescent="0.35">
      <c r="A10" s="108" t="s">
        <v>8</v>
      </c>
      <c r="B10" s="108"/>
      <c r="C10" s="108"/>
      <c r="D10" s="108"/>
      <c r="E10" s="40">
        <f>SUM(E6:E9)</f>
        <v>3942000</v>
      </c>
    </row>
    <row r="11" spans="1:5" x14ac:dyDescent="0.35">
      <c r="A11" s="43"/>
      <c r="B11" s="45"/>
      <c r="C11" s="45"/>
      <c r="D11" s="45"/>
      <c r="E11" s="46"/>
    </row>
    <row r="12" spans="1:5" x14ac:dyDescent="0.35">
      <c r="A12" s="49" t="s">
        <v>271</v>
      </c>
      <c r="B12" s="50"/>
      <c r="C12" s="50"/>
      <c r="D12" s="50"/>
      <c r="E12" s="52">
        <f>E10*20%</f>
        <v>788400</v>
      </c>
    </row>
    <row r="13" spans="1:5" x14ac:dyDescent="0.35">
      <c r="A13" s="13" t="s">
        <v>8</v>
      </c>
      <c r="B13" s="4"/>
      <c r="C13" s="4"/>
      <c r="D13" s="4"/>
      <c r="E13" s="53">
        <f>SUM(E10:E12)</f>
        <v>4730400</v>
      </c>
    </row>
    <row r="15" spans="1:5" x14ac:dyDescent="0.35">
      <c r="A15" t="s">
        <v>58</v>
      </c>
      <c r="E15" s="16">
        <f>E13</f>
        <v>4730400</v>
      </c>
    </row>
    <row r="16" spans="1:5" x14ac:dyDescent="0.35">
      <c r="A16" t="s">
        <v>59</v>
      </c>
      <c r="E16" s="25">
        <v>0.05</v>
      </c>
    </row>
    <row r="17" spans="1:5" x14ac:dyDescent="0.35">
      <c r="A17" t="s">
        <v>162</v>
      </c>
      <c r="E17">
        <f>SUM(C6:C9)</f>
        <v>21</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39000000</v>
      </c>
      <c r="D6" s="30">
        <f>('Ann 1'!C20+'Ann 1'!C37)*100000</f>
        <v>20200000</v>
      </c>
      <c r="E6" s="30">
        <v>0</v>
      </c>
      <c r="F6" s="65">
        <f>SUM(C6:E6)/100000</f>
        <v>592</v>
      </c>
    </row>
    <row r="7" spans="1:6" x14ac:dyDescent="0.35">
      <c r="A7" s="12" t="s">
        <v>57</v>
      </c>
      <c r="B7" s="12" t="s">
        <v>64</v>
      </c>
      <c r="C7" s="30">
        <v>0</v>
      </c>
      <c r="D7" s="30">
        <v>0</v>
      </c>
      <c r="E7" s="30">
        <v>0</v>
      </c>
      <c r="F7" s="103">
        <f>SUM(C7:E7)/100000</f>
        <v>0</v>
      </c>
    </row>
    <row r="8" spans="1:6" x14ac:dyDescent="0.35">
      <c r="A8" s="12" t="s">
        <v>61</v>
      </c>
      <c r="B8" s="12" t="s">
        <v>65</v>
      </c>
      <c r="C8" s="30">
        <v>0</v>
      </c>
      <c r="D8" s="30">
        <v>0</v>
      </c>
      <c r="E8" s="30">
        <v>0</v>
      </c>
      <c r="F8" s="103">
        <f>SUM(C8:E8)/100000</f>
        <v>0</v>
      </c>
    </row>
    <row r="9" spans="1:6" x14ac:dyDescent="0.35">
      <c r="A9" s="12"/>
      <c r="B9" s="108" t="s">
        <v>8</v>
      </c>
      <c r="C9" s="108"/>
      <c r="D9" s="108"/>
      <c r="E9" s="108"/>
      <c r="F9" s="65">
        <f>SUM(F6:F8)</f>
        <v>592</v>
      </c>
    </row>
    <row r="11" spans="1:6" x14ac:dyDescent="0.35">
      <c r="A11" s="12"/>
      <c r="B11" s="12" t="s">
        <v>69</v>
      </c>
      <c r="C11" s="73">
        <v>0.1</v>
      </c>
      <c r="D11" s="73">
        <v>0.15</v>
      </c>
      <c r="E11" s="73">
        <v>0.1</v>
      </c>
      <c r="F11" s="12" t="s">
        <v>181</v>
      </c>
    </row>
    <row r="12" spans="1:6" x14ac:dyDescent="0.35">
      <c r="A12" s="79" t="s">
        <v>70</v>
      </c>
      <c r="B12" s="76">
        <v>1</v>
      </c>
      <c r="C12" s="80">
        <f>C11*C6</f>
        <v>3900000</v>
      </c>
      <c r="D12" s="80">
        <f>D11*D6</f>
        <v>3030000</v>
      </c>
      <c r="E12" s="80">
        <f>E11*E6</f>
        <v>0</v>
      </c>
      <c r="F12" s="80">
        <f>SUM(C12:E12)</f>
        <v>6930000</v>
      </c>
    </row>
    <row r="13" spans="1:6" x14ac:dyDescent="0.35">
      <c r="A13" s="79" t="s">
        <v>70</v>
      </c>
      <c r="B13" s="76">
        <v>2</v>
      </c>
      <c r="C13" s="80">
        <f>(C6-C12)*C11</f>
        <v>3510000</v>
      </c>
      <c r="D13" s="80">
        <f>(D6-D12)*D11</f>
        <v>2575500</v>
      </c>
      <c r="E13" s="80">
        <f>(E6-E12)*E11</f>
        <v>0</v>
      </c>
      <c r="F13" s="80">
        <f>SUM(C13:E13)</f>
        <v>6085500</v>
      </c>
    </row>
    <row r="14" spans="1:6" x14ac:dyDescent="0.35">
      <c r="A14" s="79" t="s">
        <v>70</v>
      </c>
      <c r="B14" s="76">
        <v>3</v>
      </c>
      <c r="C14" s="80">
        <f>(C6-C12-C13)*C11</f>
        <v>3159000</v>
      </c>
      <c r="D14" s="80">
        <f>(D6-D12-D13)*D11</f>
        <v>2189175</v>
      </c>
      <c r="E14" s="80">
        <f>(E6-E12-E13)*E11</f>
        <v>0</v>
      </c>
      <c r="F14" s="80">
        <f t="shared" ref="F14:F20" si="0">SUM(C14:E14)</f>
        <v>5348175</v>
      </c>
    </row>
    <row r="15" spans="1:6" x14ac:dyDescent="0.35">
      <c r="A15" s="79" t="s">
        <v>70</v>
      </c>
      <c r="B15" s="76">
        <v>4</v>
      </c>
      <c r="C15" s="80">
        <f>(C6-C12-C13-C14)*C11</f>
        <v>2843100</v>
      </c>
      <c r="D15" s="80">
        <f>(D6-D12-D13-D14)*D11</f>
        <v>1860798.75</v>
      </c>
      <c r="E15" s="80">
        <f>(E6-E12-E13-E14)*E11</f>
        <v>0</v>
      </c>
      <c r="F15" s="80">
        <f t="shared" si="0"/>
        <v>4703898.75</v>
      </c>
    </row>
    <row r="16" spans="1:6" x14ac:dyDescent="0.35">
      <c r="A16" s="79" t="s">
        <v>70</v>
      </c>
      <c r="B16" s="76">
        <v>5</v>
      </c>
      <c r="C16" s="80">
        <f>(C6-C12-C13-C14-C15)*C11</f>
        <v>2558790</v>
      </c>
      <c r="D16" s="80">
        <f>(D6-D12-D13-D14-D15)*D11</f>
        <v>1581678.9375</v>
      </c>
      <c r="E16" s="80">
        <f>(E6-E12-E13-E14-E15)*E11</f>
        <v>0</v>
      </c>
      <c r="F16" s="80">
        <f t="shared" si="0"/>
        <v>4140468.9375</v>
      </c>
    </row>
    <row r="17" spans="1:6" x14ac:dyDescent="0.35">
      <c r="A17" s="79" t="s">
        <v>70</v>
      </c>
      <c r="B17" s="76">
        <v>6</v>
      </c>
      <c r="C17" s="80">
        <f>(C6-C12-C13-C14-C15-C16)*C11</f>
        <v>2302911</v>
      </c>
      <c r="D17" s="80">
        <f>(D6-D12-D13-D14-D15-D16)*D11</f>
        <v>1344427.096875</v>
      </c>
      <c r="E17" s="80">
        <f>(E6-E12-E13-E14-E15-E16)*E11</f>
        <v>0</v>
      </c>
      <c r="F17" s="80">
        <f t="shared" si="0"/>
        <v>3647338.0968749998</v>
      </c>
    </row>
    <row r="18" spans="1:6" x14ac:dyDescent="0.35">
      <c r="A18" s="79" t="s">
        <v>70</v>
      </c>
      <c r="B18" s="76">
        <v>7</v>
      </c>
      <c r="C18" s="80">
        <f>(C6-C12-C13-C14-C15-C16-C17)*C11</f>
        <v>2072619.9000000001</v>
      </c>
      <c r="D18" s="80">
        <f>(D6-D12-D13-D14-D15-D16-D17)*D11</f>
        <v>1142763.0323437499</v>
      </c>
      <c r="E18" s="80">
        <f>(E6-E12-E13-E14-E15-E16-E17)*E11</f>
        <v>0</v>
      </c>
      <c r="F18" s="80">
        <f t="shared" si="0"/>
        <v>3215382.9323437503</v>
      </c>
    </row>
    <row r="19" spans="1:6" x14ac:dyDescent="0.35">
      <c r="A19" s="79" t="s">
        <v>70</v>
      </c>
      <c r="B19" s="76">
        <v>8</v>
      </c>
      <c r="C19" s="80">
        <f>(C6-C12-C13-C14-C15-C16-C17-C18)*C11</f>
        <v>1865357.9100000001</v>
      </c>
      <c r="D19" s="80">
        <f>(D6-D12-D13-D14-D15-D16-D17-D18)*D11</f>
        <v>971348.5774921875</v>
      </c>
      <c r="E19" s="80">
        <f>(E6-E12-E13-E14-E15-E16-E17-E18)*E11</f>
        <v>0</v>
      </c>
      <c r="F19" s="80">
        <f t="shared" si="0"/>
        <v>2836706.4874921879</v>
      </c>
    </row>
    <row r="20" spans="1:6" x14ac:dyDescent="0.35">
      <c r="A20" s="79" t="s">
        <v>70</v>
      </c>
      <c r="B20" s="76">
        <v>9</v>
      </c>
      <c r="C20" s="80">
        <f>(C6-C12-C13-C14-C15-C16-C17-C18-C19)*C11</f>
        <v>1678822.1190000002</v>
      </c>
      <c r="D20" s="80">
        <f>(D6-D12-D13-D14-D15-D16-D17-D18-D19)*D11</f>
        <v>825646.29086835939</v>
      </c>
      <c r="E20" s="80">
        <f>(E6-E12-E13-E14-E15-E16-E17-E18-E19)*E11</f>
        <v>0</v>
      </c>
      <c r="F20" s="80">
        <f t="shared" si="0"/>
        <v>2504468.4098683596</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2021-07-15T12:21:45Z</cp:lastPrinted>
  <dcterms:created xsi:type="dcterms:W3CDTF">2021-07-04T07:21:16Z</dcterms:created>
  <dcterms:modified xsi:type="dcterms:W3CDTF">2021-07-15T12:21:51Z</dcterms:modified>
</cp:coreProperties>
</file>