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Navodita Arya\Desktop\10 DPRs refined\9. Organic Input production\"/>
    </mc:Choice>
  </mc:AlternateContent>
  <xr:revisionPtr revIDLastSave="0" documentId="13_ncr:1_{778F7B51-A2AE-45E6-B3B0-2365493C623D}" xr6:coauthVersionLast="47" xr6:coauthVersionMax="47" xr10:uidLastSave="{00000000-0000-0000-0000-000000000000}"/>
  <bookViews>
    <workbookView xWindow="-110" yWindow="-110" windowWidth="19420" windowHeight="11020" firstSheet="3" activeTab="3"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Budgets" sheetId="19" r:id="rId14"/>
    <sheet name="Cash flows" sheetId="18"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4" l="1"/>
  <c r="D5" i="14"/>
  <c r="K28" i="4"/>
  <c r="J28" i="4"/>
  <c r="I28" i="4"/>
  <c r="F10" i="9" l="1"/>
  <c r="D35" i="19"/>
  <c r="D24" i="11"/>
  <c r="C24" i="11"/>
  <c r="E5" i="22" l="1"/>
  <c r="F5" i="22"/>
  <c r="G5" i="22"/>
  <c r="H5" i="22"/>
  <c r="I5" i="22"/>
  <c r="J5" i="22"/>
  <c r="K5" i="22"/>
  <c r="L5" i="22"/>
  <c r="D5" i="22"/>
  <c r="J4" i="22"/>
  <c r="K4" i="22" s="1"/>
  <c r="L4" i="22" s="1"/>
  <c r="I4" i="22"/>
  <c r="I8" i="19"/>
  <c r="J8" i="19"/>
  <c r="C8" i="19"/>
  <c r="D18" i="11"/>
  <c r="D8" i="11"/>
  <c r="E12" i="9"/>
  <c r="C37" i="4"/>
  <c r="C7" i="4" s="1"/>
  <c r="C5" i="19"/>
  <c r="C7" i="19" s="1"/>
  <c r="D5" i="19"/>
  <c r="D7" i="19" s="1"/>
  <c r="E5" i="19"/>
  <c r="E7" i="19" s="1"/>
  <c r="F5" i="19"/>
  <c r="F7" i="19" s="1"/>
  <c r="G5" i="19"/>
  <c r="G7" i="19" s="1"/>
  <c r="H5" i="19"/>
  <c r="H7" i="19" s="1"/>
  <c r="I5" i="19"/>
  <c r="I7" i="19" s="1"/>
  <c r="J5" i="19"/>
  <c r="J7" i="19" s="1"/>
  <c r="C6" i="19"/>
  <c r="D6" i="19"/>
  <c r="D8" i="19" s="1"/>
  <c r="E6" i="19"/>
  <c r="E8" i="19" s="1"/>
  <c r="F6" i="19"/>
  <c r="F8" i="19" s="1"/>
  <c r="G6" i="19"/>
  <c r="G8" i="19" s="1"/>
  <c r="H6" i="19"/>
  <c r="H8" i="19" s="1"/>
  <c r="I6" i="19"/>
  <c r="J6" i="19"/>
  <c r="B5" i="19"/>
  <c r="B7" i="19" s="1"/>
  <c r="B6" i="19"/>
  <c r="B8" i="19" s="1"/>
  <c r="G15" i="3"/>
  <c r="G14" i="3"/>
  <c r="G13" i="3"/>
  <c r="G11" i="3"/>
  <c r="G10" i="3"/>
  <c r="G9" i="3"/>
  <c r="G8" i="3"/>
  <c r="G12" i="3"/>
  <c r="E4" i="22"/>
  <c r="C18" i="11"/>
  <c r="C19" i="11" s="1"/>
  <c r="C22" i="11" s="1"/>
  <c r="C23" i="11" s="1"/>
  <c r="C25" i="11" s="1"/>
  <c r="C25" i="4"/>
  <c r="B12" i="18"/>
  <c r="D21" i="4"/>
  <c r="E21" i="4"/>
  <c r="F21" i="4"/>
  <c r="G21" i="4"/>
  <c r="H21" i="4"/>
  <c r="I21" i="4"/>
  <c r="J21" i="4"/>
  <c r="K21" i="4"/>
  <c r="C21" i="4"/>
  <c r="C7" i="2"/>
  <c r="B4" i="18" s="1"/>
  <c r="G5" i="3"/>
  <c r="B13" i="23"/>
  <c r="B15" i="23" s="1"/>
  <c r="B17" i="23" s="1"/>
  <c r="B9" i="23"/>
  <c r="D19" i="11" l="1"/>
  <c r="D22" i="11" s="1"/>
  <c r="D23" i="11" s="1"/>
  <c r="B9" i="19"/>
  <c r="G16" i="3"/>
  <c r="F4" i="22"/>
  <c r="A6" i="21"/>
  <c r="D25" i="11" l="1"/>
  <c r="E25" i="11" s="1"/>
  <c r="C16" i="4"/>
  <c r="C8" i="4" s="1"/>
  <c r="E5" i="11"/>
  <c r="D7" i="11" s="1"/>
  <c r="G4" i="22"/>
  <c r="A13" i="21"/>
  <c r="A11" i="21"/>
  <c r="A10" i="21"/>
  <c r="A9" i="21"/>
  <c r="K46" i="7"/>
  <c r="J46" i="7"/>
  <c r="D22" i="7"/>
  <c r="E22" i="7"/>
  <c r="F22" i="7"/>
  <c r="G22" i="7"/>
  <c r="H22" i="7"/>
  <c r="I22" i="7"/>
  <c r="I33" i="7" s="1"/>
  <c r="J22" i="7"/>
  <c r="J33" i="7" s="1"/>
  <c r="K22" i="7"/>
  <c r="K33" i="7" s="1"/>
  <c r="C22" i="7"/>
  <c r="E8" i="9"/>
  <c r="A15" i="21"/>
  <c r="H4" i="22" l="1"/>
  <c r="A16" i="21"/>
  <c r="A14" i="21"/>
  <c r="A12" i="21"/>
  <c r="A8" i="21"/>
  <c r="A7" i="21"/>
  <c r="A5" i="21"/>
  <c r="A4" i="21"/>
  <c r="C23" i="18"/>
  <c r="K23" i="18"/>
  <c r="J23" i="18"/>
  <c r="I23" i="18"/>
  <c r="H23" i="18"/>
  <c r="G23" i="18"/>
  <c r="F23" i="18"/>
  <c r="E23" i="18"/>
  <c r="D23" i="18"/>
  <c r="I40" i="7" l="1"/>
  <c r="J40" i="7"/>
  <c r="K40" i="7"/>
  <c r="C19" i="1" l="1"/>
  <c r="G18" i="3"/>
  <c r="D36" i="4"/>
  <c r="D37" i="4" s="1"/>
  <c r="D7" i="4" s="1"/>
  <c r="E36" i="4" l="1"/>
  <c r="E37" i="4" s="1"/>
  <c r="E7" i="4" s="1"/>
  <c r="F36" i="4" l="1"/>
  <c r="F37" i="4" s="1"/>
  <c r="F7" i="4" s="1"/>
  <c r="C9" i="19" l="1"/>
  <c r="D16" i="4" s="1"/>
  <c r="D8" i="4" s="1"/>
  <c r="C12" i="7"/>
  <c r="G36" i="4"/>
  <c r="G37" i="4" l="1"/>
  <c r="G7" i="4" s="1"/>
  <c r="H36" i="4"/>
  <c r="I36" i="4" s="1"/>
  <c r="J36" i="4" s="1"/>
  <c r="K36" i="4" s="1"/>
  <c r="D9" i="19"/>
  <c r="E16" i="4" s="1"/>
  <c r="E8" i="4" s="1"/>
  <c r="C8" i="18"/>
  <c r="B3" i="20"/>
  <c r="H37" i="4"/>
  <c r="H7" i="4" s="1"/>
  <c r="E9" i="19" l="1"/>
  <c r="F16" i="4" s="1"/>
  <c r="F8" i="4" s="1"/>
  <c r="E12" i="7"/>
  <c r="E8" i="18" s="1"/>
  <c r="D12" i="7"/>
  <c r="D8" i="18" s="1"/>
  <c r="C3" i="20"/>
  <c r="D3" i="20"/>
  <c r="I37" i="4"/>
  <c r="I7" i="4" s="1"/>
  <c r="F12" i="7" l="1"/>
  <c r="F9" i="19"/>
  <c r="G16" i="4" s="1"/>
  <c r="G8" i="4" s="1"/>
  <c r="E3" i="20"/>
  <c r="J37" i="4"/>
  <c r="J7" i="4" s="1"/>
  <c r="G9" i="19" l="1"/>
  <c r="H16" i="4" s="1"/>
  <c r="H8" i="4" s="1"/>
  <c r="G12" i="7"/>
  <c r="F3" i="20"/>
  <c r="K37" i="4"/>
  <c r="K7" i="4" s="1"/>
  <c r="D13" i="14"/>
  <c r="C12" i="1"/>
  <c r="C35" i="1"/>
  <c r="J22" i="4"/>
  <c r="K22" i="4"/>
  <c r="K13" i="18" s="1"/>
  <c r="H9" i="19" l="1"/>
  <c r="I16" i="4" s="1"/>
  <c r="I8" i="4" s="1"/>
  <c r="H12" i="7"/>
  <c r="G3" i="20"/>
  <c r="D9" i="11"/>
  <c r="C6" i="10"/>
  <c r="C46" i="7"/>
  <c r="D14" i="14"/>
  <c r="C19" i="18"/>
  <c r="J13" i="18"/>
  <c r="J45" i="7"/>
  <c r="K45" i="7"/>
  <c r="E6" i="9"/>
  <c r="E17" i="9"/>
  <c r="I12" i="7" l="1"/>
  <c r="H3" i="20"/>
  <c r="J9" i="19"/>
  <c r="K16" i="4" s="1"/>
  <c r="K8" i="4" s="1"/>
  <c r="I9" i="19"/>
  <c r="J16" i="4" s="1"/>
  <c r="J8" i="4" s="1"/>
  <c r="E9" i="11"/>
  <c r="E10" i="11" s="1"/>
  <c r="D15" i="14"/>
  <c r="D16" i="14" s="1"/>
  <c r="D17" i="14" s="1"/>
  <c r="D18" i="14" s="1"/>
  <c r="D19" i="14" s="1"/>
  <c r="I3" i="20" l="1"/>
  <c r="J12" i="7"/>
  <c r="J3" i="20"/>
  <c r="K12" i="7"/>
  <c r="D19" i="18"/>
  <c r="D46" i="7"/>
  <c r="D20" i="14"/>
  <c r="D21" i="14" s="1"/>
  <c r="D22" i="14" s="1"/>
  <c r="D23" i="14" s="1"/>
  <c r="D24" i="14" s="1"/>
  <c r="D25" i="14" s="1"/>
  <c r="D26" i="14" s="1"/>
  <c r="D9" i="4"/>
  <c r="D10" i="4" s="1"/>
  <c r="E12" i="10"/>
  <c r="J47" i="7"/>
  <c r="K47" i="7"/>
  <c r="C12" i="10"/>
  <c r="C20" i="1"/>
  <c r="C16" i="1"/>
  <c r="F8" i="10"/>
  <c r="F7" i="10"/>
  <c r="E9" i="9"/>
  <c r="E7" i="9"/>
  <c r="C9" i="1"/>
  <c r="D6" i="10" l="1"/>
  <c r="D12" i="10" s="1"/>
  <c r="D13" i="10" s="1"/>
  <c r="D14" i="10" s="1"/>
  <c r="C39" i="1"/>
  <c r="C8" i="2" s="1"/>
  <c r="E19" i="18"/>
  <c r="E46" i="7"/>
  <c r="F19" i="18"/>
  <c r="F46" i="7"/>
  <c r="D10" i="18"/>
  <c r="C7" i="15"/>
  <c r="D27" i="14"/>
  <c r="E10" i="9"/>
  <c r="E10" i="18"/>
  <c r="C13" i="10"/>
  <c r="C3" i="15"/>
  <c r="E13" i="10"/>
  <c r="K6" i="12"/>
  <c r="E5" i="12"/>
  <c r="H6" i="12"/>
  <c r="E6" i="12"/>
  <c r="D6" i="12"/>
  <c r="F6" i="12"/>
  <c r="F5" i="12"/>
  <c r="G5" i="12"/>
  <c r="I6" i="12"/>
  <c r="F6" i="10" l="1"/>
  <c r="B7" i="18" s="1"/>
  <c r="C27" i="4"/>
  <c r="B10" i="13"/>
  <c r="F12" i="10"/>
  <c r="E12" i="11" s="1"/>
  <c r="C10" i="7"/>
  <c r="C9" i="7"/>
  <c r="C11" i="7" s="1"/>
  <c r="D9" i="7" s="1"/>
  <c r="C4" i="2"/>
  <c r="C6" i="2" s="1"/>
  <c r="F13" i="10"/>
  <c r="E9" i="4"/>
  <c r="E10" i="4" s="1"/>
  <c r="D28" i="14"/>
  <c r="E13" i="9"/>
  <c r="F3" i="15"/>
  <c r="F10" i="18"/>
  <c r="C14" i="10"/>
  <c r="F14" i="10" s="1"/>
  <c r="C10" i="13"/>
  <c r="D27" i="4"/>
  <c r="D10" i="7"/>
  <c r="E3" i="15"/>
  <c r="D3" i="15"/>
  <c r="E14" i="10"/>
  <c r="H5" i="12"/>
  <c r="J5" i="12"/>
  <c r="C6" i="12"/>
  <c r="J6" i="12"/>
  <c r="D5" i="12"/>
  <c r="I5" i="12"/>
  <c r="C5" i="12"/>
  <c r="G6" i="12"/>
  <c r="K5" i="12"/>
  <c r="D15" i="10"/>
  <c r="D16" i="10" s="1"/>
  <c r="D17" i="10" s="1"/>
  <c r="F9" i="10" l="1"/>
  <c r="B26" i="18"/>
  <c r="B27" i="18" s="1"/>
  <c r="B6" i="18"/>
  <c r="D4" i="14"/>
  <c r="D29" i="14"/>
  <c r="D33" i="14" s="1"/>
  <c r="D34" i="14" s="1"/>
  <c r="D35" i="14" s="1"/>
  <c r="D36" i="14" s="1"/>
  <c r="E15" i="9"/>
  <c r="C12" i="4"/>
  <c r="C17" i="7"/>
  <c r="B5" i="18" s="1"/>
  <c r="C39" i="7"/>
  <c r="F9" i="4"/>
  <c r="F10" i="4" s="1"/>
  <c r="G10" i="18"/>
  <c r="D11" i="7"/>
  <c r="D39" i="7" s="1"/>
  <c r="E27" i="4"/>
  <c r="E10" i="7"/>
  <c r="D10" i="13"/>
  <c r="C15" i="10"/>
  <c r="E15" i="10"/>
  <c r="D18" i="10"/>
  <c r="G46" i="7" l="1"/>
  <c r="C12" i="14"/>
  <c r="C10" i="14"/>
  <c r="E10" i="14" s="1"/>
  <c r="C11" i="14"/>
  <c r="E11" i="14" s="1"/>
  <c r="B20" i="18"/>
  <c r="C4" i="18" s="1"/>
  <c r="C24" i="18" s="1"/>
  <c r="C25" i="18" s="1"/>
  <c r="D12" i="4"/>
  <c r="C23" i="7"/>
  <c r="B24" i="18"/>
  <c r="C13" i="4"/>
  <c r="F15" i="10"/>
  <c r="G9" i="4"/>
  <c r="G10" i="4" s="1"/>
  <c r="G19" i="18"/>
  <c r="F8" i="18"/>
  <c r="H10" i="18"/>
  <c r="G3" i="15"/>
  <c r="E9" i="7"/>
  <c r="E11" i="7" s="1"/>
  <c r="E39" i="7" s="1"/>
  <c r="F10" i="7"/>
  <c r="E10" i="13"/>
  <c r="F27" i="4"/>
  <c r="C16" i="10"/>
  <c r="C17" i="10" s="1"/>
  <c r="E16" i="10"/>
  <c r="D19" i="10"/>
  <c r="D20" i="10" s="1"/>
  <c r="E12" i="14" l="1"/>
  <c r="C13" i="14"/>
  <c r="E12" i="4"/>
  <c r="E13" i="4" s="1"/>
  <c r="D23" i="7"/>
  <c r="D9" i="18"/>
  <c r="C28" i="7"/>
  <c r="B29" i="18"/>
  <c r="B25" i="18"/>
  <c r="B30" i="18" s="1"/>
  <c r="D13" i="4"/>
  <c r="F16" i="10"/>
  <c r="H9" i="4"/>
  <c r="H10" i="4" s="1"/>
  <c r="G8" i="18"/>
  <c r="I10" i="18"/>
  <c r="H3" i="15"/>
  <c r="F9" i="7"/>
  <c r="F11" i="7" s="1"/>
  <c r="F39" i="7" s="1"/>
  <c r="G10" i="7"/>
  <c r="F10" i="13"/>
  <c r="G27" i="4"/>
  <c r="C18" i="10"/>
  <c r="E17" i="10"/>
  <c r="H27" i="4" s="1"/>
  <c r="E14" i="11" l="1"/>
  <c r="E13" i="14"/>
  <c r="C14" i="14"/>
  <c r="D11" i="18"/>
  <c r="E9" i="18"/>
  <c r="D28" i="7"/>
  <c r="F12" i="4"/>
  <c r="E23" i="7"/>
  <c r="E11" i="18" s="1"/>
  <c r="H46" i="7"/>
  <c r="H19" i="18"/>
  <c r="D15" i="4"/>
  <c r="D17" i="4" s="1"/>
  <c r="D48" i="7" s="1"/>
  <c r="F17" i="10"/>
  <c r="E15" i="4"/>
  <c r="I9" i="4"/>
  <c r="I10" i="4" s="1"/>
  <c r="H8" i="18"/>
  <c r="J10" i="18"/>
  <c r="I3" i="15"/>
  <c r="G9" i="7"/>
  <c r="G11" i="7" s="1"/>
  <c r="H10" i="7"/>
  <c r="G10" i="13"/>
  <c r="C19" i="10"/>
  <c r="E18" i="10"/>
  <c r="E19" i="10" s="1"/>
  <c r="E15" i="11" l="1"/>
  <c r="C27" i="11" s="1"/>
  <c r="C29" i="11" s="1"/>
  <c r="C20" i="4"/>
  <c r="C22" i="4" s="1"/>
  <c r="E14" i="14"/>
  <c r="C21" i="7"/>
  <c r="C15" i="14"/>
  <c r="F9" i="18"/>
  <c r="E28" i="7"/>
  <c r="G12" i="4"/>
  <c r="G13" i="4" s="1"/>
  <c r="F23" i="7"/>
  <c r="F13" i="4"/>
  <c r="F15" i="4" s="1"/>
  <c r="I46" i="7"/>
  <c r="C4" i="20"/>
  <c r="C5" i="20" s="1"/>
  <c r="C6" i="20" s="1"/>
  <c r="F18" i="10"/>
  <c r="E17" i="4"/>
  <c r="E48" i="7" s="1"/>
  <c r="D4" i="20"/>
  <c r="C20" i="10"/>
  <c r="F19" i="10"/>
  <c r="J9" i="4"/>
  <c r="J10" i="4" s="1"/>
  <c r="K9" i="4"/>
  <c r="K10" i="4" s="1"/>
  <c r="I8" i="18"/>
  <c r="K10" i="18"/>
  <c r="G39" i="7"/>
  <c r="H9" i="7"/>
  <c r="H11" i="7" s="1"/>
  <c r="I10" i="7"/>
  <c r="I27" i="4"/>
  <c r="H10" i="13"/>
  <c r="I10" i="13"/>
  <c r="J10" i="7"/>
  <c r="J27" i="4"/>
  <c r="E20" i="10"/>
  <c r="C28" i="11" l="1"/>
  <c r="F11" i="18"/>
  <c r="E15" i="14"/>
  <c r="C16" i="14"/>
  <c r="C45" i="7"/>
  <c r="C47" i="7" s="1"/>
  <c r="C13" i="18"/>
  <c r="C40" i="7"/>
  <c r="C41" i="7" s="1"/>
  <c r="C33" i="7"/>
  <c r="G9" i="18"/>
  <c r="F28" i="7"/>
  <c r="H12" i="4"/>
  <c r="H13" i="4" s="1"/>
  <c r="G23" i="7"/>
  <c r="G11" i="18" s="1"/>
  <c r="F20" i="10"/>
  <c r="F17" i="4"/>
  <c r="F48" i="7" s="1"/>
  <c r="E4" i="20"/>
  <c r="E5" i="20" s="1"/>
  <c r="E6" i="20" s="1"/>
  <c r="D5" i="20"/>
  <c r="D6" i="20" s="1"/>
  <c r="K27" i="4"/>
  <c r="J10" i="13"/>
  <c r="G15" i="4"/>
  <c r="F4" i="20" s="1"/>
  <c r="F5" i="20" s="1"/>
  <c r="F6" i="20" s="1"/>
  <c r="J8" i="18"/>
  <c r="K8" i="18"/>
  <c r="H39" i="7"/>
  <c r="I9" i="7"/>
  <c r="I11" i="7" s="1"/>
  <c r="J9" i="7" s="1"/>
  <c r="J11" i="7" s="1"/>
  <c r="K10" i="7"/>
  <c r="E16" i="14" l="1"/>
  <c r="C17" i="14"/>
  <c r="H9" i="18"/>
  <c r="G28" i="7"/>
  <c r="I12" i="4"/>
  <c r="I13" i="4" s="1"/>
  <c r="H23" i="7"/>
  <c r="H11" i="18" s="1"/>
  <c r="H15" i="4"/>
  <c r="G4" i="20" s="1"/>
  <c r="G5" i="20" s="1"/>
  <c r="G6" i="20" s="1"/>
  <c r="I39" i="7"/>
  <c r="J39" i="7"/>
  <c r="K9" i="7"/>
  <c r="K11" i="7" s="1"/>
  <c r="K39" i="7" s="1"/>
  <c r="G17" i="4"/>
  <c r="G48" i="7" s="1"/>
  <c r="E17" i="14" l="1"/>
  <c r="D20" i="4" s="1"/>
  <c r="D22" i="4" s="1"/>
  <c r="C18" i="14"/>
  <c r="I9" i="18"/>
  <c r="H28" i="7"/>
  <c r="J12" i="4"/>
  <c r="J13" i="4" s="1"/>
  <c r="I23" i="7"/>
  <c r="I11" i="18" s="1"/>
  <c r="I15" i="4"/>
  <c r="H4" i="20" s="1"/>
  <c r="H5" i="20" s="1"/>
  <c r="H6" i="20" s="1"/>
  <c r="I19" i="18"/>
  <c r="E18" i="14" l="1"/>
  <c r="C19" i="14"/>
  <c r="D21" i="7"/>
  <c r="D45" i="7"/>
  <c r="D47" i="7" s="1"/>
  <c r="D49" i="7" s="1"/>
  <c r="D24" i="4"/>
  <c r="D13" i="18"/>
  <c r="J9" i="18"/>
  <c r="I28" i="7"/>
  <c r="K12" i="4"/>
  <c r="J23" i="7"/>
  <c r="J11" i="18" s="1"/>
  <c r="J15" i="4"/>
  <c r="I4" i="20" s="1"/>
  <c r="I5" i="20" s="1"/>
  <c r="I6" i="20" s="1"/>
  <c r="H17" i="4"/>
  <c r="H48" i="7" s="1"/>
  <c r="D33" i="7" l="1"/>
  <c r="D40" i="7"/>
  <c r="D41" i="7" s="1"/>
  <c r="D28" i="4"/>
  <c r="C7" i="13"/>
  <c r="C9" i="13" s="1"/>
  <c r="C11" i="13" s="1"/>
  <c r="C13" i="13" s="1"/>
  <c r="C14" i="13" s="1"/>
  <c r="D29" i="4" s="1"/>
  <c r="D15" i="18" s="1"/>
  <c r="E19" i="14"/>
  <c r="C20" i="14"/>
  <c r="K9" i="18"/>
  <c r="J28" i="7"/>
  <c r="K23" i="7"/>
  <c r="K28" i="7" s="1"/>
  <c r="K13" i="4"/>
  <c r="C7" i="20" l="1"/>
  <c r="D30" i="4"/>
  <c r="E20" i="14"/>
  <c r="C21" i="14"/>
  <c r="K11" i="18"/>
  <c r="K15" i="4"/>
  <c r="J4" i="20" s="1"/>
  <c r="J5" i="20" s="1"/>
  <c r="J6" i="20" s="1"/>
  <c r="I17" i="4"/>
  <c r="I48" i="7" s="1"/>
  <c r="D31" i="4" l="1"/>
  <c r="D17" i="18" s="1"/>
  <c r="D26" i="18" s="1"/>
  <c r="D27" i="18" s="1"/>
  <c r="C8" i="20"/>
  <c r="E21" i="14"/>
  <c r="E20" i="4" s="1"/>
  <c r="E22" i="4" s="1"/>
  <c r="C22" i="14"/>
  <c r="E22" i="14" l="1"/>
  <c r="E21" i="7"/>
  <c r="C23" i="14"/>
  <c r="D32" i="4"/>
  <c r="D18" i="7" s="1"/>
  <c r="E45" i="7"/>
  <c r="E47" i="7" s="1"/>
  <c r="E49" i="7" s="1"/>
  <c r="E13" i="18"/>
  <c r="E24" i="4"/>
  <c r="E28" i="4" l="1"/>
  <c r="D7" i="13"/>
  <c r="D9" i="13" s="1"/>
  <c r="D11" i="13" s="1"/>
  <c r="D13" i="13" s="1"/>
  <c r="D14" i="13" s="1"/>
  <c r="E29" i="4" s="1"/>
  <c r="E15" i="18" s="1"/>
  <c r="E23" i="14"/>
  <c r="C24" i="14"/>
  <c r="E40" i="7"/>
  <c r="E41" i="7" s="1"/>
  <c r="E33" i="7"/>
  <c r="J17" i="4"/>
  <c r="J3" i="15"/>
  <c r="K3" i="15"/>
  <c r="E24" i="14" l="1"/>
  <c r="C25" i="14"/>
  <c r="D7" i="20"/>
  <c r="E30" i="4"/>
  <c r="J24" i="4"/>
  <c r="J48" i="7"/>
  <c r="K17" i="4"/>
  <c r="E31" i="4" l="1"/>
  <c r="E17" i="18" s="1"/>
  <c r="E26" i="18" s="1"/>
  <c r="E27" i="18" s="1"/>
  <c r="D8" i="20"/>
  <c r="E25" i="14"/>
  <c r="F20" i="4" s="1"/>
  <c r="F22" i="4" s="1"/>
  <c r="C26" i="14"/>
  <c r="I7" i="20"/>
  <c r="I7" i="13"/>
  <c r="I9" i="13" s="1"/>
  <c r="I11" i="13" s="1"/>
  <c r="I13" i="13" s="1"/>
  <c r="I14" i="13" s="1"/>
  <c r="J29" i="4" s="1"/>
  <c r="J15" i="18" s="1"/>
  <c r="K24" i="4"/>
  <c r="K48" i="7"/>
  <c r="E32" i="4" l="1"/>
  <c r="E18" i="7" s="1"/>
  <c r="F13" i="18"/>
  <c r="F24" i="4"/>
  <c r="F45" i="7"/>
  <c r="F47" i="7" s="1"/>
  <c r="F49" i="7" s="1"/>
  <c r="E26" i="14"/>
  <c r="F21" i="7"/>
  <c r="C27" i="14"/>
  <c r="J7" i="20"/>
  <c r="J30" i="4"/>
  <c r="J31" i="4" s="1"/>
  <c r="J7" i="13"/>
  <c r="J9" i="13" s="1"/>
  <c r="J11" i="13" s="1"/>
  <c r="J13" i="13" s="1"/>
  <c r="J14" i="13" s="1"/>
  <c r="K29" i="4" s="1"/>
  <c r="C28" i="14" l="1"/>
  <c r="E27" i="14"/>
  <c r="F33" i="7"/>
  <c r="F40" i="7"/>
  <c r="F41" i="7" s="1"/>
  <c r="F28" i="4"/>
  <c r="E7" i="13"/>
  <c r="E9" i="13" s="1"/>
  <c r="E11" i="13" s="1"/>
  <c r="E13" i="13" s="1"/>
  <c r="E14" i="13" s="1"/>
  <c r="F29" i="4" s="1"/>
  <c r="F15" i="18" s="1"/>
  <c r="J32" i="4"/>
  <c r="J18" i="7" s="1"/>
  <c r="I8" i="20"/>
  <c r="K30" i="4"/>
  <c r="K31" i="4" s="1"/>
  <c r="K15" i="18"/>
  <c r="E7" i="20" l="1"/>
  <c r="F30" i="4"/>
  <c r="C29" i="14"/>
  <c r="E28" i="14"/>
  <c r="J17" i="18"/>
  <c r="J26" i="18" s="1"/>
  <c r="K32" i="4"/>
  <c r="K18" i="7" s="1"/>
  <c r="J8" i="20"/>
  <c r="C30" i="14" l="1"/>
  <c r="E29" i="14"/>
  <c r="G20" i="4" s="1"/>
  <c r="G22" i="4" s="1"/>
  <c r="G21" i="7"/>
  <c r="F31" i="4"/>
  <c r="F17" i="18" s="1"/>
  <c r="F26" i="18" s="1"/>
  <c r="F27" i="18" s="1"/>
  <c r="E8" i="20"/>
  <c r="J27" i="18"/>
  <c r="K17" i="18"/>
  <c r="K26" i="18" s="1"/>
  <c r="F32" i="4" l="1"/>
  <c r="F18" i="7" s="1"/>
  <c r="G13" i="18"/>
  <c r="G24" i="4"/>
  <c r="G45" i="7"/>
  <c r="G47" i="7" s="1"/>
  <c r="G49" i="7" s="1"/>
  <c r="E30" i="14"/>
  <c r="C31" i="14"/>
  <c r="G40" i="7"/>
  <c r="G41" i="7" s="1"/>
  <c r="G33" i="7"/>
  <c r="K27" i="18"/>
  <c r="G28" i="4" l="1"/>
  <c r="F7" i="13"/>
  <c r="F9" i="13" s="1"/>
  <c r="F11" i="13" s="1"/>
  <c r="F13" i="13" s="1"/>
  <c r="F14" i="13" s="1"/>
  <c r="G29" i="4" s="1"/>
  <c r="G15" i="18" s="1"/>
  <c r="F7" i="20" l="1"/>
  <c r="G30" i="4"/>
  <c r="G31" i="4" l="1"/>
  <c r="G17" i="18" s="1"/>
  <c r="G26" i="18" s="1"/>
  <c r="G27" i="18" s="1"/>
  <c r="F8" i="20"/>
  <c r="H20" i="4"/>
  <c r="H22" i="4" s="1"/>
  <c r="H21" i="7"/>
  <c r="G32" i="4" l="1"/>
  <c r="G18" i="7" s="1"/>
  <c r="H40" i="7"/>
  <c r="F42" i="7" s="1"/>
  <c r="H33" i="7"/>
  <c r="C35" i="14"/>
  <c r="H45" i="7"/>
  <c r="H47" i="7" s="1"/>
  <c r="H49" i="7" s="1"/>
  <c r="H24" i="4"/>
  <c r="H28" i="4" s="1"/>
  <c r="H13" i="18"/>
  <c r="G7" i="13" l="1"/>
  <c r="G9" i="13" s="1"/>
  <c r="G11" i="13" s="1"/>
  <c r="G13" i="13" s="1"/>
  <c r="G14" i="13" s="1"/>
  <c r="H29" i="4" s="1"/>
  <c r="H15" i="18" s="1"/>
  <c r="C36" i="14"/>
  <c r="C37" i="14" l="1"/>
  <c r="G7" i="20"/>
  <c r="H30" i="4"/>
  <c r="I20" i="4" l="1"/>
  <c r="I22" i="4" s="1"/>
  <c r="I45" i="7" s="1"/>
  <c r="I47" i="7" s="1"/>
  <c r="H31" i="4"/>
  <c r="H17" i="18" s="1"/>
  <c r="H26" i="18" s="1"/>
  <c r="H27" i="18" s="1"/>
  <c r="G8" i="20"/>
  <c r="I13" i="18" l="1"/>
  <c r="I24" i="4"/>
  <c r="H32" i="4"/>
  <c r="H18" i="7" s="1"/>
  <c r="H7" i="13" l="1"/>
  <c r="H9" i="13" s="1"/>
  <c r="H11" i="13" s="1"/>
  <c r="H13" i="13" s="1"/>
  <c r="H14" i="13" s="1"/>
  <c r="I29" i="4" s="1"/>
  <c r="I15" i="18" s="1"/>
  <c r="H7" i="20"/>
  <c r="I30" i="4" l="1"/>
  <c r="I31" i="4" s="1"/>
  <c r="C9" i="4"/>
  <c r="H8" i="20" l="1"/>
  <c r="I17" i="18"/>
  <c r="I26" i="18" s="1"/>
  <c r="I27" i="18" s="1"/>
  <c r="I32" i="4"/>
  <c r="I18" i="7" s="1"/>
  <c r="C11" i="18"/>
  <c r="C14" i="18" s="1"/>
  <c r="C10" i="4"/>
  <c r="C15" i="4" s="1"/>
  <c r="C17" i="4" l="1"/>
  <c r="B4" i="20"/>
  <c r="B5" i="20" s="1"/>
  <c r="B6" i="20" s="1"/>
  <c r="C48" i="7" l="1"/>
  <c r="C49" i="7" s="1"/>
  <c r="F50" i="7" s="1"/>
  <c r="C24" i="4"/>
  <c r="C28" i="4" s="1"/>
  <c r="B7" i="13" l="1"/>
  <c r="B9" i="13" s="1"/>
  <c r="B11" i="13" s="1"/>
  <c r="B13" i="13" s="1"/>
  <c r="B14" i="13" s="1"/>
  <c r="C29" i="4" s="1"/>
  <c r="C15" i="18" s="1"/>
  <c r="C16" i="18" l="1"/>
  <c r="C30" i="4"/>
  <c r="C31" i="4" s="1"/>
  <c r="B7" i="20"/>
  <c r="B8" i="20" l="1"/>
  <c r="C17" i="18" l="1"/>
  <c r="C26" i="18" s="1"/>
  <c r="C32" i="4"/>
  <c r="C18" i="7" s="1"/>
  <c r="C20" i="7" s="1"/>
  <c r="C34" i="7" l="1"/>
  <c r="C35" i="7" s="1"/>
  <c r="C24" i="7"/>
  <c r="D17" i="7"/>
  <c r="D20" i="7" s="1"/>
  <c r="C18" i="18"/>
  <c r="C20" i="18" s="1"/>
  <c r="C13" i="7" s="1"/>
  <c r="D4" i="18" l="1"/>
  <c r="D14" i="18" s="1"/>
  <c r="C29" i="18"/>
  <c r="C30" i="18" s="1"/>
  <c r="C27" i="18"/>
  <c r="E17" i="7"/>
  <c r="E20" i="7" s="1"/>
  <c r="D24" i="7"/>
  <c r="D34" i="7"/>
  <c r="D35" i="7" s="1"/>
  <c r="E34" i="7" l="1"/>
  <c r="E35" i="7" s="1"/>
  <c r="F17" i="7"/>
  <c r="F20" i="7" s="1"/>
  <c r="E24" i="7"/>
  <c r="D24" i="18"/>
  <c r="D16" i="18"/>
  <c r="D18" i="18" s="1"/>
  <c r="D20" i="18" s="1"/>
  <c r="C14" i="7"/>
  <c r="C27" i="7"/>
  <c r="C29" i="7" s="1"/>
  <c r="E4" i="18" l="1"/>
  <c r="E14" i="18" s="1"/>
  <c r="D13" i="7"/>
  <c r="D29" i="18"/>
  <c r="D30" i="18" s="1"/>
  <c r="D25" i="18"/>
  <c r="F34" i="7"/>
  <c r="F35" i="7" s="1"/>
  <c r="F24" i="7"/>
  <c r="G17" i="7"/>
  <c r="G20" i="7" s="1"/>
  <c r="G34" i="7" l="1"/>
  <c r="G35" i="7" s="1"/>
  <c r="G24" i="7"/>
  <c r="H17" i="7"/>
  <c r="H20" i="7" s="1"/>
  <c r="D27" i="7"/>
  <c r="D29" i="7" s="1"/>
  <c r="D14" i="7"/>
  <c r="E16" i="18"/>
  <c r="E18" i="18" s="1"/>
  <c r="E20" i="18" s="1"/>
  <c r="E24" i="18"/>
  <c r="E13" i="7" l="1"/>
  <c r="F4" i="18"/>
  <c r="E25" i="18"/>
  <c r="E29" i="18"/>
  <c r="E30" i="18" s="1"/>
  <c r="I17" i="7"/>
  <c r="I20" i="7" s="1"/>
  <c r="H24" i="7"/>
  <c r="H34" i="7"/>
  <c r="H35" i="7" s="1"/>
  <c r="J17" i="7" l="1"/>
  <c r="J20" i="7" s="1"/>
  <c r="I34" i="7"/>
  <c r="I35" i="7" s="1"/>
  <c r="I24" i="7"/>
  <c r="F24" i="18"/>
  <c r="F14" i="18"/>
  <c r="F16" i="18" s="1"/>
  <c r="F18" i="18" s="1"/>
  <c r="F20" i="18" s="1"/>
  <c r="E27" i="7"/>
  <c r="E29" i="7" s="1"/>
  <c r="E14" i="7"/>
  <c r="F13" i="7" l="1"/>
  <c r="G4" i="18"/>
  <c r="F29" i="18"/>
  <c r="F30" i="18" s="1"/>
  <c r="F25" i="18"/>
  <c r="J24" i="7"/>
  <c r="K17" i="7"/>
  <c r="K20" i="7" s="1"/>
  <c r="J34" i="7"/>
  <c r="J35" i="7" s="1"/>
  <c r="K34" i="7" l="1"/>
  <c r="K35" i="7" s="1"/>
  <c r="F36" i="7" s="1"/>
  <c r="K24" i="7"/>
  <c r="G14" i="18"/>
  <c r="G16" i="18" s="1"/>
  <c r="G18" i="18" s="1"/>
  <c r="G20" i="18" s="1"/>
  <c r="G24" i="18"/>
  <c r="F14" i="7"/>
  <c r="F27" i="7"/>
  <c r="F29" i="7" s="1"/>
  <c r="G29" i="18" l="1"/>
  <c r="G30" i="18" s="1"/>
  <c r="G25" i="18"/>
  <c r="H4" i="18"/>
  <c r="G13" i="7"/>
  <c r="G27" i="7" l="1"/>
  <c r="G29" i="7" s="1"/>
  <c r="G14" i="7"/>
  <c r="H24" i="18"/>
  <c r="H14" i="18"/>
  <c r="H16" i="18" s="1"/>
  <c r="H18" i="18" s="1"/>
  <c r="H20" i="18" s="1"/>
  <c r="H25" i="18" l="1"/>
  <c r="H29" i="18"/>
  <c r="H30" i="18" s="1"/>
  <c r="I4" i="18"/>
  <c r="H13" i="7"/>
  <c r="H14" i="7" l="1"/>
  <c r="H27" i="7"/>
  <c r="H29" i="7" s="1"/>
  <c r="I24" i="18"/>
  <c r="I14" i="18"/>
  <c r="I16" i="18" s="1"/>
  <c r="I18" i="18" s="1"/>
  <c r="I20" i="18" s="1"/>
  <c r="J4" i="18" l="1"/>
  <c r="I13" i="7"/>
  <c r="I25" i="18"/>
  <c r="I29" i="18"/>
  <c r="I30" i="18" s="1"/>
  <c r="I14" i="7" l="1"/>
  <c r="I27" i="7"/>
  <c r="I29" i="7" s="1"/>
  <c r="J24" i="18"/>
  <c r="J14" i="18"/>
  <c r="J16" i="18" s="1"/>
  <c r="J18" i="18" s="1"/>
  <c r="J20" i="18" s="1"/>
  <c r="K4" i="18" l="1"/>
  <c r="J13" i="7"/>
  <c r="J29" i="18"/>
  <c r="J30" i="18" s="1"/>
  <c r="J25" i="18"/>
  <c r="J14" i="7" l="1"/>
  <c r="J27" i="7"/>
  <c r="J29" i="7" s="1"/>
  <c r="K24" i="18"/>
  <c r="K14" i="18"/>
  <c r="K16" i="18" s="1"/>
  <c r="K18" i="18" s="1"/>
  <c r="K20" i="18" s="1"/>
  <c r="K13" i="7" s="1"/>
  <c r="K27" i="7" l="1"/>
  <c r="K29" i="7" s="1"/>
  <c r="F30" i="7" s="1"/>
  <c r="K14" i="7"/>
  <c r="K29" i="18"/>
  <c r="K30" i="18" s="1"/>
  <c r="L30" i="18" s="1"/>
  <c r="K25" i="18"/>
</calcChain>
</file>

<file path=xl/sharedStrings.xml><?xml version="1.0" encoding="utf-8"?>
<sst xmlns="http://schemas.openxmlformats.org/spreadsheetml/2006/main" count="443" uniqueCount="321">
  <si>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</si>
  <si>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</si>
  <si>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</si>
  <si>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</si>
  <si>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</si>
  <si>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</si>
  <si>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</si>
  <si>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</si>
  <si>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</si>
  <si>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</si>
  <si>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</si>
  <si>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</si>
  <si>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</si>
  <si>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</si>
  <si>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</si>
  <si>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</si>
  <si>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</si>
  <si>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</si>
  <si>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</si>
  <si>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</si>
  <si>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</si>
  <si>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</si>
  <si>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</si>
  <si>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</si>
  <si>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</si>
  <si>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</si>
  <si>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</si>
  <si>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</si>
  <si>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</si>
  <si>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</si>
  <si>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</si>
  <si>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</si>
  <si>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</si>
  <si>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</si>
  <si>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</si>
  <si>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</si>
  <si>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</si>
  <si>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</si>
  <si>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</si>
  <si>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</si>
  <si>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</si>
  <si>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</si>
  <si>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</si>
  <si>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</si>
  <si>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</si>
  <si>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</si>
  <si>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</si>
  <si>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</si>
  <si>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</si>
  <si>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</si>
  <si>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</si>
  <si>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</si>
  <si>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</si>
  <si>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</si>
  <si>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</si>
  <si>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</si>
  <si>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</si>
  <si>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</si>
  <si>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</si>
  <si>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</si>
  <si>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Accountant</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</si>
  <si>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</si>
  <si>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</si>
  <si>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</si>
  <si>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</si>
  <si>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</si>
  <si>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</si>
  <si>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</si>
  <si>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</si>
  <si>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</si>
  <si>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</si>
  <si>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</si>
  <si>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</si>
  <si>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</si>
  <si>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</si>
  <si>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Interest on Working capital</t>
  </si>
  <si>
    <t>Contribution</t>
  </si>
  <si>
    <t>- electricity expense</t>
  </si>
  <si>
    <t>Depreciation</t>
  </si>
  <si>
    <t>Fixed cost</t>
  </si>
  <si>
    <t>Electricity charges</t>
  </si>
  <si>
    <t>Interest on Working capital</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</si>
  <si>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</si>
  <si>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</si>
  <si>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</si>
  <si>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</si>
  <si>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</si>
  <si>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</si>
  <si>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</si>
  <si>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</si>
  <si>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</si>
  <si>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</si>
  <si>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</si>
  <si>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</si>
  <si>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</si>
  <si>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</si>
  <si>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</si>
  <si>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</si>
  <si>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</si>
  <si>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</si>
  <si>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</si>
  <si>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</si>
  <si>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</si>
  <si>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</si>
  <si>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</si>
  <si>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</si>
  <si>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</si>
  <si>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</si>
  <si>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</si>
  <si>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</si>
  <si>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</si>
  <si>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</si>
  <si>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</si>
  <si>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</si>
  <si>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</si>
  <si>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</si>
  <si>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</si>
  <si>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</si>
  <si>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</si>
  <si>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</si>
  <si>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</si>
  <si>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</si>
  <si>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</si>
  <si>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</si>
  <si>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</si>
  <si>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</si>
  <si>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</si>
  <si>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</si>
  <si>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</si>
  <si>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</si>
  <si>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</si>
  <si>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</si>
  <si>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</si>
  <si>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</si>
  <si>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</si>
  <si>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</si>
  <si>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</si>
  <si>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</si>
  <si>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</si>
  <si>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</si>
  <si>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</si>
  <si>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</si>
  <si>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</si>
  <si>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</si>
  <si>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</si>
  <si>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</si>
  <si>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</si>
  <si>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</si>
  <si>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</si>
  <si>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</si>
  <si>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</si>
  <si>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</si>
  <si>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</si>
  <si>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</si>
  <si>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</si>
  <si>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</si>
  <si>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</si>
  <si>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</si>
  <si>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</si>
  <si>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Annexure 8 - Details of Mnpower</t>
  </si>
  <si>
    <t>Details of Manpower</t>
  </si>
  <si>
    <t>Security</t>
  </si>
  <si>
    <t>Creditors</t>
  </si>
  <si>
    <t>Total manpower</t>
  </si>
  <si>
    <t>opening balance</t>
  </si>
  <si>
    <t>Add: Sales realizations</t>
  </si>
  <si>
    <t>Less: Interest payments</t>
  </si>
  <si>
    <t>Working capital</t>
  </si>
  <si>
    <t>Interest on WC Loan</t>
  </si>
  <si>
    <t>E mandi expense</t>
  </si>
  <si>
    <t>Site Development</t>
  </si>
  <si>
    <t>Sales Budget</t>
  </si>
  <si>
    <t>Products</t>
  </si>
  <si>
    <t>Output</t>
  </si>
  <si>
    <t>Electricity expense</t>
  </si>
  <si>
    <t>Usage in units</t>
  </si>
  <si>
    <t>4. Electricity usage in units is given below</t>
  </si>
  <si>
    <t>Cost of Production</t>
  </si>
  <si>
    <t>Sub Total</t>
  </si>
  <si>
    <t>Total depreciation for the year</t>
  </si>
  <si>
    <t>Machine operators</t>
  </si>
  <si>
    <t>Preliminary Expense</t>
  </si>
  <si>
    <t>Cash flow statement</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</si>
  <si>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</si>
  <si>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</si>
  <si>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</si>
  <si>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</si>
  <si>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</si>
  <si>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</si>
  <si>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</si>
  <si>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</si>
  <si>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</si>
  <si>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</si>
  <si>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</si>
  <si>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</si>
  <si>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</si>
  <si>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</si>
  <si>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</si>
  <si>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</si>
  <si>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</si>
  <si>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</si>
  <si>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</si>
  <si>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</si>
  <si>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</si>
  <si>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</si>
  <si>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</si>
  <si>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</si>
  <si>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</si>
  <si>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</si>
  <si>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</si>
  <si>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</si>
  <si>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</si>
  <si>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</si>
  <si>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</si>
  <si>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</si>
  <si>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</si>
  <si>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</si>
  <si>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</si>
  <si>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</si>
  <si>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</si>
  <si>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</si>
  <si>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</si>
  <si>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</si>
  <si>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</si>
  <si>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</si>
  <si>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</si>
  <si>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Cash flows'!A1</t>
  </si>
  <si>
    <t>iv.</t>
  </si>
  <si>
    <t>Labour/ helper</t>
  </si>
  <si>
    <t>Annual cost</t>
  </si>
  <si>
    <t>1. asssumed that 60 days of purchases are average creditors maintained</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</si>
  <si>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</si>
  <si>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</si>
  <si>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</si>
  <si>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</si>
  <si>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</si>
  <si>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</si>
  <si>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</si>
  <si>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</si>
  <si>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</si>
  <si>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</si>
  <si>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</si>
  <si>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</si>
  <si>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</si>
  <si>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</si>
  <si>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</si>
  <si>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</si>
  <si>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</si>
  <si>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</si>
  <si>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</si>
  <si>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Distribution of profits (50%)</t>
  </si>
  <si>
    <t>Asssumed that 30 days of purchases are average creditors maintained</t>
  </si>
  <si>
    <t>1. Civil Work</t>
  </si>
  <si>
    <t>Total Civil Work</t>
  </si>
  <si>
    <t>Estimated ocupational capacity</t>
  </si>
  <si>
    <t>Less: Pre incorporation expense</t>
  </si>
  <si>
    <t>Contribution per kg</t>
  </si>
  <si>
    <t>Electricity fixed charge</t>
  </si>
  <si>
    <t>Less: Fixed costs</t>
  </si>
  <si>
    <t>Assumed that 60 days of sales are average debtors maintained by the business</t>
  </si>
  <si>
    <t>Vermicompst Verms With Cow Dung Packing</t>
  </si>
  <si>
    <t>Hand Operated Trolly</t>
  </si>
  <si>
    <t>Compost Filter Machine</t>
  </si>
  <si>
    <t>Bag Sewing Machine</t>
  </si>
  <si>
    <t>Culture Trays</t>
  </si>
  <si>
    <t>Weighting Scale</t>
  </si>
  <si>
    <t>Buskets dung fark</t>
  </si>
  <si>
    <t>Basket Trolly &amp; Filter Tools</t>
  </si>
  <si>
    <t>Rate</t>
  </si>
  <si>
    <t>Site development</t>
  </si>
  <si>
    <t>MT</t>
  </si>
  <si>
    <t>no. of shift</t>
  </si>
  <si>
    <t>shift</t>
  </si>
  <si>
    <t>no of working hours</t>
  </si>
  <si>
    <t>hrs.</t>
  </si>
  <si>
    <t>no. of working days/per annum</t>
  </si>
  <si>
    <t>days</t>
  </si>
  <si>
    <t>per lots on per baid days</t>
  </si>
  <si>
    <t>total lots on per baid days</t>
  </si>
  <si>
    <t>lot</t>
  </si>
  <si>
    <t>production per lot per baid</t>
  </si>
  <si>
    <t>bag</t>
  </si>
  <si>
    <t>production per lot per baid per bag</t>
  </si>
  <si>
    <t>kg.</t>
  </si>
  <si>
    <t>no of baids</t>
  </si>
  <si>
    <t>baid</t>
  </si>
  <si>
    <t>production per lot on total baids</t>
  </si>
  <si>
    <t>production per year (365 days)</t>
  </si>
  <si>
    <t>Production of vermi compost fertilizer</t>
  </si>
  <si>
    <t>Production of Vermi Wash</t>
  </si>
  <si>
    <t>per baid vermi wash produced</t>
  </si>
  <si>
    <t>ltrs</t>
  </si>
  <si>
    <t>total no of baids</t>
  </si>
  <si>
    <t>total production per baid in per day</t>
  </si>
  <si>
    <t>total production per year (365 days)</t>
  </si>
  <si>
    <t>Sales qty - Compost</t>
  </si>
  <si>
    <t>Sales qty - Vermi wash</t>
  </si>
  <si>
    <t>sales prices per kg Compost</t>
  </si>
  <si>
    <t>sales prices per kg Vermi Wash</t>
  </si>
  <si>
    <t>Sales - Compost</t>
  </si>
  <si>
    <t>Sales - Vermi Wash</t>
  </si>
  <si>
    <t>Total sales</t>
  </si>
  <si>
    <t>3. Electricity are semi-fixed cost. Rs. 20,000 pa is fixed, balance is variable at Rs. 9 per unit usage</t>
  </si>
  <si>
    <t>Add: benefits @ 5%</t>
  </si>
  <si>
    <t>Compost</t>
  </si>
  <si>
    <t>Vermi wash</t>
  </si>
  <si>
    <t>Input purchase cost - Cow dung and worms</t>
  </si>
  <si>
    <t>Electricity are semi-fixed cost. Rs. 200,000 pa is fixed, balance is variable at Rs. 9 per unit usage</t>
  </si>
  <si>
    <t>It is assumed that input cost for cow dung and worms is 50% of the sales</t>
  </si>
  <si>
    <t>Purchase price of inputs</t>
  </si>
  <si>
    <t>Contribution margin %</t>
  </si>
  <si>
    <t>Sales ratio</t>
  </si>
  <si>
    <t>Proportionate contribution</t>
  </si>
  <si>
    <t>BEP total in Rs.</t>
  </si>
  <si>
    <t>For the first year of operation the break-even capacity comes at 62.34%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</si>
  <si>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Amount of subsidy (in lakhs)</t>
  </si>
  <si>
    <t>Subsidy is available maximum 25% upto Rs. 40 lakhs under Vegetable and fruit market waste management compost and bio fertilizer production units</t>
  </si>
  <si>
    <t>Other income - Subsidy for repayment of loan</t>
  </si>
  <si>
    <t>DPR with subsidy</t>
  </si>
  <si>
    <t>The amount Rs. 17.75 lakhs is sourced by Government subsidy. Since this is a back end subsidy, the amount is funded to bank at the end of repayment schedule.</t>
  </si>
  <si>
    <t>In case of Capital subsidy, the amount vary depending on location of unit and scheme offered by the government at that time. Thus it is assumed here that 25% of cost of project (Rs. 17.75 lakhs)is sourced through back end subsidy.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</si>
</sst>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_(* #,##0.0000_);_(* \(#,##0.0000\);_(* &quot;-&quot;??_);_(@_)"/>
    <numFmt numFmtId="169" formatCode="0.0000"/>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sz val="11"/>
      <color theme="0"/>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2"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19">
    <xf numFmtId="0" fontId="0" fillId="0" borderId="0" xfId="0"/>
    <xf numFmtId="0" fontId="0" fillId="0" borderId="0" xfId="0" applyAlignment="1">
      <alignment horizontal="left"/>
    </xf>
    <xf numFmtId="2" fontId="0" fillId="0" borderId="0" xfId="0" applyNumberFormat="1"/>
    <xf numFmtId="0" fontId="3" fillId="0" borderId="0" xfId="0" applyFont="1"/>
    <xf numFmtId="0" fontId="0" fillId="0" borderId="3" xfId="0" applyBorder="1"/>
    <xf numFmtId="0" fontId="0" fillId="0" borderId="0" xfId="0" applyBorder="1"/>
    <xf numFmtId="0" fontId="0" fillId="0" borderId="9" xfId="0" applyBorder="1"/>
    <xf numFmtId="0" fontId="0" fillId="0" borderId="11" xfId="0" applyBorder="1" applyAlignment="1">
      <alignment horizontal="left"/>
    </xf>
    <xf numFmtId="0" fontId="0" fillId="0" borderId="12" xfId="0" applyBorder="1" applyAlignment="1">
      <alignment horizontal="left"/>
    </xf>
    <xf numFmtId="0" fontId="0" fillId="0" borderId="11" xfId="0" applyBorder="1"/>
    <xf numFmtId="0" fontId="0" fillId="0" borderId="11" xfId="0" applyBorder="1" applyAlignment="1">
      <alignment wrapText="1"/>
    </xf>
    <xf numFmtId="0" fontId="0" fillId="0" borderId="12" xfId="0" applyBorder="1"/>
    <xf numFmtId="0" fontId="0" fillId="0" borderId="1" xfId="0" applyBorder="1"/>
    <xf numFmtId="0" fontId="0" fillId="0" borderId="2" xfId="0" applyBorder="1"/>
    <xf numFmtId="0" fontId="0" fillId="0" borderId="8" xfId="0" applyBorder="1"/>
    <xf numFmtId="164" fontId="0" fillId="0" borderId="0" xfId="1" applyNumberFormat="1" applyFont="1"/>
    <xf numFmtId="164" fontId="0" fillId="0" borderId="0" xfId="0" applyNumberFormat="1"/>
    <xf numFmtId="164" fontId="0" fillId="0" borderId="0" xfId="1" applyNumberFormat="1" applyFont="1" applyBorder="1"/>
    <xf numFmtId="164" fontId="0" fillId="0" borderId="9" xfId="1" applyNumberFormat="1" applyFont="1" applyBorder="1"/>
    <xf numFmtId="0" fontId="2" fillId="0" borderId="2" xfId="0" applyFont="1" applyBorder="1"/>
    <xf numFmtId="0" fontId="2" fillId="0" borderId="3" xfId="0" applyFont="1" applyBorder="1"/>
    <xf numFmtId="164" fontId="2" fillId="0" borderId="4" xfId="0" applyNumberFormat="1" applyFont="1" applyBorder="1"/>
    <xf numFmtId="0" fontId="2" fillId="0" borderId="0" xfId="0" applyFont="1"/>
    <xf numFmtId="0" fontId="0" fillId="0" borderId="0" xfId="0" quotePrefix="1"/>
    <xf numFmtId="43" fontId="0" fillId="0" borderId="0" xfId="0" applyNumberFormat="1"/>
    <xf numFmtId="9" fontId="0" fillId="0" borderId="0" xfId="0" applyNumberFormat="1"/>
    <xf numFmtId="43" fontId="0" fillId="0" borderId="9" xfId="1" applyNumberFormat="1" applyFont="1" applyBorder="1"/>
    <xf numFmtId="43" fontId="0" fillId="0" borderId="9" xfId="0" applyNumberFormat="1" applyBorder="1"/>
    <xf numFmtId="43" fontId="0" fillId="0" borderId="10" xfId="0" applyNumberFormat="1" applyBorder="1"/>
    <xf numFmtId="0" fontId="0" fillId="0" borderId="0" xfId="0" applyAlignment="1">
      <alignment horizontal="right"/>
    </xf>
    <xf numFmtId="164" fontId="0" fillId="0" borderId="1" xfId="1" applyNumberFormat="1" applyFont="1" applyBorder="1"/>
    <xf numFmtId="0" fontId="3" fillId="2" borderId="2" xfId="0" applyFont="1" applyFill="1" applyBorder="1"/>
    <xf numFmtId="0" fontId="0" fillId="2" borderId="3" xfId="0" applyFill="1" applyBorder="1"/>
    <xf numFmtId="0" fontId="0" fillId="2" borderId="4" xfId="0" applyFill="1" applyBorder="1"/>
    <xf numFmtId="0" fontId="0" fillId="2" borderId="1" xfId="0" applyFill="1" applyBorder="1"/>
    <xf numFmtId="0" fontId="0" fillId="2" borderId="1" xfId="0" applyFill="1" applyBorder="1" applyAlignment="1">
      <alignment wrapText="1"/>
    </xf>
    <xf numFmtId="0" fontId="0" fillId="2" borderId="2" xfId="0" applyFill="1" applyBorder="1"/>
    <xf numFmtId="43" fontId="0" fillId="0" borderId="4" xfId="0" applyNumberFormat="1" applyBorder="1"/>
    <xf numFmtId="0" fontId="0" fillId="2" borderId="6" xfId="0" applyFill="1" applyBorder="1"/>
    <xf numFmtId="0" fontId="0" fillId="0" borderId="0" xfId="0" applyBorder="1" applyAlignment="1">
      <alignment horizontal="left"/>
    </xf>
    <xf numFmtId="164" fontId="0" fillId="0" borderId="1" xfId="0" applyNumberFormat="1" applyBorder="1"/>
    <xf numFmtId="0" fontId="0" fillId="0" borderId="1" xfId="0" applyFill="1" applyBorder="1"/>
    <xf numFmtId="10" fontId="0" fillId="0" borderId="0" xfId="2" applyNumberFormat="1" applyFont="1"/>
    <xf numFmtId="0" fontId="0" fillId="0" borderId="5" xfId="0" applyBorder="1"/>
    <xf numFmtId="0" fontId="2" fillId="0" borderId="6" xfId="0" applyFont="1" applyBorder="1"/>
    <xf numFmtId="0" fontId="0" fillId="0" borderId="6" xfId="0" applyBorder="1"/>
    <xf numFmtId="0" fontId="0" fillId="0" borderId="7" xfId="0" applyBorder="1"/>
    <xf numFmtId="164" fontId="0" fillId="0" borderId="9" xfId="0" applyNumberFormat="1" applyBorder="1"/>
    <xf numFmtId="0" fontId="2" fillId="0" borderId="0" xfId="0" applyFont="1" applyBorder="1"/>
    <xf numFmtId="0" fontId="0" fillId="0" borderId="13" xfId="0" applyBorder="1"/>
    <xf numFmtId="0" fontId="0" fillId="0" borderId="14" xfId="0" applyBorder="1"/>
    <xf numFmtId="0" fontId="0" fillId="0" borderId="10" xfId="0" applyBorder="1"/>
    <xf numFmtId="164" fontId="0" fillId="0" borderId="10" xfId="0" applyNumberFormat="1" applyBorder="1"/>
    <xf numFmtId="164" fontId="0" fillId="0" borderId="4" xfId="0" applyNumberFormat="1" applyBorder="1"/>
    <xf numFmtId="43" fontId="0" fillId="0" borderId="1" xfId="1" applyFont="1" applyBorder="1"/>
    <xf numFmtId="0" fontId="0" fillId="0" borderId="15" xfId="0" applyBorder="1"/>
    <xf numFmtId="164" fontId="0" fillId="0" borderId="11" xfId="0" applyNumberFormat="1" applyBorder="1"/>
    <xf numFmtId="164" fontId="0" fillId="0" borderId="11" xfId="1" applyNumberFormat="1" applyFont="1" applyBorder="1"/>
    <xf numFmtId="43" fontId="0" fillId="0" borderId="11" xfId="0" applyNumberFormat="1" applyBorder="1"/>
    <xf numFmtId="0" fontId="0" fillId="0" borderId="0" xfId="0" applyFill="1" applyBorder="1"/>
    <xf numFmtId="0" fontId="0" fillId="2" borderId="8" xfId="0" applyFill="1" applyBorder="1"/>
    <xf numFmtId="0" fontId="0" fillId="2" borderId="0" xfId="0" applyFill="1" applyBorder="1"/>
    <xf numFmtId="0" fontId="0" fillId="2" borderId="11" xfId="0" applyFill="1" applyBorder="1"/>
    <xf numFmtId="0" fontId="0" fillId="2" borderId="9" xfId="0" applyFill="1" applyBorder="1"/>
    <xf numFmtId="164" fontId="0" fillId="2" borderId="9" xfId="0" applyNumberFormat="1" applyFill="1" applyBorder="1"/>
    <xf numFmtId="2" fontId="0" fillId="0" borderId="1" xfId="0" applyNumberFormat="1" applyBorder="1"/>
    <xf numFmtId="43" fontId="0" fillId="0" borderId="9" xfId="1" applyFont="1" applyBorder="1"/>
    <xf numFmtId="164" fontId="0" fillId="0" borderId="8" xfId="0" applyNumberFormat="1" applyFill="1" applyBorder="1"/>
    <xf numFmtId="0" fontId="4" fillId="0" borderId="0" xfId="0" applyFont="1"/>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vertical="top"/>
    </xf>
    <xf numFmtId="0" fontId="0" fillId="0" borderId="0" xfId="0" applyBorder="1" applyAlignment="1">
      <alignment vertical="top" wrapText="1"/>
    </xf>
    <xf numFmtId="9" fontId="0" fillId="0" borderId="1" xfId="0" applyNumberFormat="1" applyBorder="1"/>
    <xf numFmtId="0" fontId="0" fillId="0" borderId="1" xfId="0" applyBorder="1" applyAlignment="1">
      <alignment horizontal="left"/>
    </xf>
    <xf numFmtId="0" fontId="0" fillId="2" borderId="4" xfId="0" applyFont="1" applyFill="1" applyBorder="1"/>
    <xf numFmtId="167" fontId="0" fillId="0" borderId="0" xfId="0" applyNumberFormat="1"/>
    <xf numFmtId="0" fontId="0" fillId="0" borderId="1" xfId="0" applyBorder="1" applyAlignment="1">
      <alignment horizontal="right"/>
    </xf>
    <xf numFmtId="43" fontId="0" fillId="0" borderId="1" xfId="0" applyNumberFormat="1" applyBorder="1"/>
    <xf numFmtId="0" fontId="5" fillId="0" borderId="0" xfId="0" applyFont="1"/>
    <xf numFmtId="0" fontId="4" fillId="2" borderId="1" xfId="0" applyFont="1" applyFill="1" applyBorder="1"/>
    <xf numFmtId="0" fontId="4" fillId="0" borderId="1" xfId="0" applyFont="1" applyBorder="1"/>
    <xf numFmtId="164" fontId="4" fillId="0" borderId="1" xfId="1" applyNumberFormat="1" applyFont="1" applyBorder="1"/>
    <xf numFmtId="164" fontId="4" fillId="0" borderId="0" xfId="0" applyNumberFormat="1" applyFont="1"/>
    <xf numFmtId="0" fontId="2" fillId="0" borderId="1" xfId="0" applyFont="1" applyBorder="1"/>
    <xf numFmtId="0" fontId="6" fillId="0" borderId="1" xfId="3" quotePrefix="1" applyBorder="1"/>
    <xf numFmtId="0" fontId="6" fillId="0" borderId="1" xfId="3" applyBorder="1"/>
    <xf numFmtId="168" fontId="0" fillId="0" borderId="0" xfId="0" applyNumberFormat="1"/>
    <xf numFmtId="0" fontId="0" fillId="0" borderId="6" xfId="0" applyBorder="1" applyAlignment="1">
      <alignment horizontal="left"/>
    </xf>
    <xf numFmtId="164" fontId="0" fillId="0" borderId="6" xfId="1" applyNumberFormat="1" applyFont="1" applyBorder="1"/>
    <xf numFmtId="164" fontId="0" fillId="0" borderId="7" xfId="1" applyNumberFormat="1" applyFont="1" applyBorder="1" applyAlignment="1">
      <alignment horizontal="left"/>
    </xf>
    <xf numFmtId="164" fontId="0" fillId="0" borderId="9" xfId="1" applyNumberFormat="1" applyFont="1" applyBorder="1" applyAlignment="1">
      <alignment horizontal="left"/>
    </xf>
    <xf numFmtId="0" fontId="0" fillId="0" borderId="4" xfId="0" applyBorder="1"/>
    <xf numFmtId="0" fontId="0" fillId="0" borderId="6" xfId="0" applyBorder="1" applyAlignment="1">
      <alignment horizontal="left" wrapText="1"/>
    </xf>
    <xf numFmtId="43" fontId="0" fillId="0" borderId="0" xfId="1" applyFont="1"/>
    <xf numFmtId="0" fontId="2" fillId="0" borderId="13" xfId="0" applyFont="1" applyBorder="1"/>
    <xf numFmtId="0" fontId="2" fillId="0" borderId="14" xfId="0" applyFont="1" applyBorder="1"/>
    <xf numFmtId="164" fontId="2" fillId="0" borderId="10" xfId="0" applyNumberFormat="1" applyFont="1" applyBorder="1"/>
    <xf numFmtId="2" fontId="0" fillId="0" borderId="1" xfId="1" applyNumberFormat="1" applyFont="1" applyBorder="1"/>
    <xf numFmtId="10" fontId="0" fillId="3" borderId="0" xfId="0" applyNumberFormat="1" applyFill="1"/>
    <xf numFmtId="0" fontId="0" fillId="3" borderId="0" xfId="0" applyFill="1" applyAlignment="1">
      <alignment horizontal="right"/>
    </xf>
    <xf numFmtId="0" fontId="0" fillId="0" borderId="0" xfId="0" applyFont="1" applyBorder="1" applyAlignment="1">
      <alignment vertical="center" wrapText="1"/>
    </xf>
    <xf numFmtId="43" fontId="0" fillId="0" borderId="0" xfId="1" applyFont="1" applyBorder="1"/>
    <xf numFmtId="169" fontId="0" fillId="0" borderId="1" xfId="0" applyNumberFormat="1" applyBorder="1"/>
    <xf numFmtId="0" fontId="0" fillId="0" borderId="2" xfId="0" applyBorder="1" applyAlignment="1">
      <alignment vertical="top" wrapText="1"/>
    </xf>
    <xf numFmtId="165" fontId="0" fillId="0" borderId="2" xfId="0" applyNumberFormat="1" applyBorder="1" applyAlignment="1">
      <alignment vertical="top" wrapText="1"/>
    </xf>
    <xf numFmtId="0" fontId="0" fillId="4" borderId="0" xfId="0" applyFill="1"/>
    <xf numFmtId="10" fontId="0" fillId="0" borderId="0" xfId="0" applyNumberFormat="1"/>
    <xf numFmtId="169" fontId="0" fillId="0" borderId="0" xfId="0" applyNumberFormat="1"/>
    <xf numFmtId="0" fontId="0" fillId="2" borderId="3" xfId="0"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left"/>
    </xf>
    <xf numFmtId="0" fontId="0" fillId="0" borderId="0" xfId="0" applyAlignment="1">
      <alignment horizontal="left" wrapText="1"/>
    </xf>
    <xf numFmtId="0" fontId="0" fillId="0" borderId="0" xfId="0" applyAlignment="1">
      <alignment horizontal="center"/>
    </xf>
    <xf numFmtId="0" fontId="0" fillId="0" borderId="1" xfId="0" applyBorder="1" applyAlignment="1">
      <alignment horizontal="center" vertical="center"/>
    </xf>
    <xf numFmtId="164" fontId="7" fillId="0" borderId="0" xfId="1" applyNumberFormat="1" applyFont="1"/>
    <xf numFmtId="10" fontId="7" fillId="0" borderId="0" xfId="1" applyNumberFormat="1" applyFont="1"/>
    <xf numFmtId="0" fontId="7" fillId="0" borderId="0" xfId="0" applyFont="1"/>
    <xf numFmtId="166" fontId="7" fillId="0" borderId="0" xfId="1" applyNumberFormat="1" applyFont="1"/>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workbookViewId="0">
      <selection activeCell="A20" sqref="A20"/>
    </sheetView>
  </sheetViews>
  <sheetFormatPr defaultRowHeight="14.5" x14ac:dyDescent="0.35"/>
  <cols>
    <col min="1" max="1" width="57.90625" bestFit="1" customWidth="1"/>
    <col min="2" max="2" width="14.453125" bestFit="1" customWidth="1"/>
  </cols>
  <sheetData>
    <row r="1" spans="1:2" x14ac:dyDescent="0.35">
      <c r="A1" s="22" t="s">
        <v>209</v>
      </c>
    </row>
    <row r="3" spans="1:2" x14ac:dyDescent="0.35">
      <c r="A3" s="84" t="s">
        <v>210</v>
      </c>
      <c r="B3" s="84" t="s">
        <v>211</v>
      </c>
    </row>
    <row r="4" spans="1:2" x14ac:dyDescent="0.35">
      <c r="A4" s="12" t="str">
        <f>'[1]Ann 1'!A3</f>
        <v>Annexure 1 - Estimated cost of the project</v>
      </c>
      <c r="B4" s="85" t="s">
        <v>212</v>
      </c>
    </row>
    <row r="5" spans="1:2" x14ac:dyDescent="0.35">
      <c r="A5" s="12" t="str">
        <f>'[1]Ann 2'!A1</f>
        <v>Annexure 2 - Means of Finance</v>
      </c>
      <c r="B5" s="85" t="s">
        <v>213</v>
      </c>
    </row>
    <row r="6" spans="1:2" x14ac:dyDescent="0.35">
      <c r="A6" s="12" t="str">
        <f>'Ann 3'!A1</f>
        <v>Annexure 3 - Complete Estimate of Civil and Plant and Machinery</v>
      </c>
      <c r="B6" s="85" t="s">
        <v>231</v>
      </c>
    </row>
    <row r="7" spans="1:2" x14ac:dyDescent="0.35">
      <c r="A7" s="12" t="str">
        <f>'[1]Ann 4'!A1</f>
        <v>Annexure 4 - Estimated Cost of Production</v>
      </c>
      <c r="B7" s="85" t="s">
        <v>214</v>
      </c>
    </row>
    <row r="8" spans="1:2" x14ac:dyDescent="0.35">
      <c r="A8" s="12" t="str">
        <f>'[1]Ann 5'!A1</f>
        <v>Annexure 5- Projected balance sheet</v>
      </c>
      <c r="B8" s="85" t="s">
        <v>215</v>
      </c>
    </row>
    <row r="9" spans="1:2" x14ac:dyDescent="0.35">
      <c r="A9" s="12" t="str">
        <f>'Ann 8'!A1</f>
        <v>Annexure 8 - Details of Mnpower</v>
      </c>
      <c r="B9" s="85" t="s">
        <v>216</v>
      </c>
    </row>
    <row r="10" spans="1:2" x14ac:dyDescent="0.35">
      <c r="A10" s="12" t="str">
        <f>'Ann 9'!A1</f>
        <v>Annexure 9 - Computation of Depreciation</v>
      </c>
      <c r="B10" s="85" t="s">
        <v>217</v>
      </c>
    </row>
    <row r="11" spans="1:2" x14ac:dyDescent="0.35">
      <c r="A11" s="12" t="str">
        <f>'Ann 10'!A1</f>
        <v>Annexure 10 - Calculation of Income tax</v>
      </c>
      <c r="B11" s="85" t="s">
        <v>218</v>
      </c>
    </row>
    <row r="12" spans="1:2" x14ac:dyDescent="0.35">
      <c r="A12" s="12" t="str">
        <f>'[1]Ann 11'!A1</f>
        <v>Annexure 11- Break even analysis (At maximum capacity utilization)</v>
      </c>
      <c r="B12" s="85" t="s">
        <v>219</v>
      </c>
    </row>
    <row r="13" spans="1:2" x14ac:dyDescent="0.35">
      <c r="A13" s="12" t="str">
        <f>'Ann 13'!A1</f>
        <v>Annexure 13 - Repayment schedule</v>
      </c>
      <c r="B13" s="85" t="s">
        <v>220</v>
      </c>
    </row>
    <row r="14" spans="1:2" x14ac:dyDescent="0.35">
      <c r="A14" s="12" t="str">
        <f>[1]Assumptions!B1</f>
        <v>Assumptions</v>
      </c>
      <c r="B14" s="86" t="s">
        <v>221</v>
      </c>
    </row>
    <row r="15" spans="1:2" x14ac:dyDescent="0.35">
      <c r="A15" s="12" t="str">
        <f>'Cash flows'!A1</f>
        <v>Cash flow statement</v>
      </c>
      <c r="B15" s="85" t="s">
        <v>226</v>
      </c>
    </row>
    <row r="16" spans="1:2" x14ac:dyDescent="0.35">
      <c r="A16" s="12" t="str">
        <f>[1]Budgets!A1</f>
        <v>Sales Budget</v>
      </c>
      <c r="B16" s="86" t="s">
        <v>222</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9" location="'Ann 8'!A1" display="'Ann 8'!A1" xr:uid="{4BFF2D8E-3B2F-47B1-821E-2A9D5F3C599D}"/>
    <hyperlink ref="B10" location="'Ann 9'!A1" display="'Ann 9'!A1" xr:uid="{E91052E2-C8F3-4E24-802C-38C31EA75505}"/>
    <hyperlink ref="B11" location="'Ann 10'!A1" display="'Ann 10'!A1" xr:uid="{6A4B47E0-EA66-439F-8C5A-E0DF1C723C34}"/>
    <hyperlink ref="B12" location="'Ann 11'!A1" display="'Ann 11'!A1" xr:uid="{91648EFB-F5F2-42E9-8853-705ACD4F62EF}"/>
    <hyperlink ref="B13" location="'Ann 13'!A1" display="'Ann 13'!A1" xr:uid="{D748CAF8-9377-4D17-A5F2-F1A083E6D389}"/>
    <hyperlink ref="B14" location="Assumptions!A1" display="Assumptions!A1" xr:uid="{E978F649-0532-497D-92AA-EF316AAFA8E7}"/>
    <hyperlink ref="B16" location="Budgets!A1" display="Budgets!A1" xr:uid="{4CD23AF4-AE8A-40D8-A5ED-3F33524C9974}"/>
    <hyperlink ref="B15" location="'Cash flows'!A1" display="'Cash flows'!A1" xr:uid="{718213C1-E053-4B01-87D5-A7B478363B5A}"/>
    <hyperlink ref="B6" location="'Ann 3'!A1" display="'Ann 3'!A1" xr:uid="{103D0423-931A-4127-89EA-F0D3EE7C4F9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A14" sqref="A14"/>
    </sheetView>
  </sheetViews>
  <sheetFormatPr defaultRowHeight="14.5" x14ac:dyDescent="0.35"/>
  <cols>
    <col min="1" max="1" width="20.90625" customWidth="1"/>
    <col min="2" max="10" width="13.6328125" bestFit="1" customWidth="1"/>
  </cols>
  <sheetData>
    <row r="1" spans="1:10" x14ac:dyDescent="0.35">
      <c r="A1" s="22" t="s">
        <v>108</v>
      </c>
    </row>
    <row r="3" spans="1:10" x14ac:dyDescent="0.35">
      <c r="A3" s="3" t="s">
        <v>109</v>
      </c>
    </row>
    <row r="5" spans="1:10" x14ac:dyDescent="0.35">
      <c r="A5" s="110" t="s">
        <v>3</v>
      </c>
      <c r="B5" s="110" t="s">
        <v>48</v>
      </c>
      <c r="C5" s="110"/>
      <c r="D5" s="110"/>
      <c r="E5" s="110"/>
      <c r="F5" s="110"/>
      <c r="G5" s="110"/>
      <c r="H5" s="110"/>
      <c r="I5" s="110"/>
      <c r="J5" s="110"/>
    </row>
    <row r="6" spans="1:10" x14ac:dyDescent="0.35">
      <c r="A6" s="110"/>
      <c r="B6" s="34" t="s">
        <v>39</v>
      </c>
      <c r="C6" s="34" t="s">
        <v>40</v>
      </c>
      <c r="D6" s="34" t="s">
        <v>41</v>
      </c>
      <c r="E6" s="34" t="s">
        <v>42</v>
      </c>
      <c r="F6" s="34" t="s">
        <v>43</v>
      </c>
      <c r="G6" s="34" t="s">
        <v>44</v>
      </c>
      <c r="H6" s="34" t="s">
        <v>45</v>
      </c>
      <c r="I6" s="34" t="s">
        <v>46</v>
      </c>
      <c r="J6" s="34" t="s">
        <v>47</v>
      </c>
    </row>
    <row r="7" spans="1:10" x14ac:dyDescent="0.35">
      <c r="A7" s="12" t="s">
        <v>110</v>
      </c>
      <c r="B7" s="30">
        <f>'Ann 4'!C24</f>
        <v>3074317.25</v>
      </c>
      <c r="C7" s="30">
        <f>'Ann 4'!D24</f>
        <v>3763241.9375</v>
      </c>
      <c r="D7" s="30">
        <f>'Ann 4'!E24</f>
        <v>4053865.9550000001</v>
      </c>
      <c r="E7" s="30">
        <f>'Ann 4'!F24</f>
        <v>4340162.2631000001</v>
      </c>
      <c r="F7" s="30">
        <f>'Ann 4'!G24</f>
        <v>4621837.8446419993</v>
      </c>
      <c r="G7" s="30">
        <f>'Ann 4'!H24</f>
        <v>4669613.7639544392</v>
      </c>
      <c r="H7" s="30">
        <f>'Ann 4'!I24</f>
        <v>4624884.3276187498</v>
      </c>
      <c r="I7" s="30">
        <f>'Ann 4'!J24</f>
        <v>4548112.9657395622</v>
      </c>
      <c r="J7" s="30">
        <f>'Ann 4'!K24</f>
        <v>4465967.608528832</v>
      </c>
    </row>
    <row r="8" spans="1:10" x14ac:dyDescent="0.35">
      <c r="A8" s="12" t="s">
        <v>111</v>
      </c>
      <c r="B8" s="30">
        <v>0</v>
      </c>
      <c r="C8" s="30">
        <v>0</v>
      </c>
      <c r="D8" s="30">
        <v>0</v>
      </c>
      <c r="E8" s="30">
        <v>0</v>
      </c>
      <c r="F8" s="30">
        <v>0</v>
      </c>
      <c r="G8" s="30">
        <v>0</v>
      </c>
      <c r="H8" s="30">
        <v>0</v>
      </c>
      <c r="I8" s="30">
        <v>0</v>
      </c>
      <c r="J8" s="30">
        <v>0</v>
      </c>
    </row>
    <row r="9" spans="1:10" x14ac:dyDescent="0.35">
      <c r="A9" s="12" t="s">
        <v>112</v>
      </c>
      <c r="B9" s="30">
        <f>B7+B8</f>
        <v>3074317.25</v>
      </c>
      <c r="C9" s="30">
        <f t="shared" ref="C9:J9" si="0">C7+C8</f>
        <v>3763241.9375</v>
      </c>
      <c r="D9" s="30">
        <f t="shared" si="0"/>
        <v>4053865.9550000001</v>
      </c>
      <c r="E9" s="30">
        <f t="shared" si="0"/>
        <v>4340162.2631000001</v>
      </c>
      <c r="F9" s="30">
        <f t="shared" si="0"/>
        <v>4621837.8446419993</v>
      </c>
      <c r="G9" s="30">
        <f t="shared" si="0"/>
        <v>4669613.7639544392</v>
      </c>
      <c r="H9" s="30">
        <f t="shared" si="0"/>
        <v>4624884.3276187498</v>
      </c>
      <c r="I9" s="30">
        <f t="shared" si="0"/>
        <v>4548112.9657395622</v>
      </c>
      <c r="J9" s="30">
        <f t="shared" si="0"/>
        <v>4465967.608528832</v>
      </c>
    </row>
    <row r="10" spans="1:10" x14ac:dyDescent="0.35">
      <c r="A10" s="12" t="s">
        <v>113</v>
      </c>
      <c r="B10" s="30">
        <f>SUM('Ann 9'!C12:E12)</f>
        <v>865250</v>
      </c>
      <c r="C10" s="30">
        <f>SUM('Ann 9'!C13:E13)</f>
        <v>747397.5</v>
      </c>
      <c r="D10" s="30">
        <f>SUM('Ann 9'!C14:E14)</f>
        <v>646029.375</v>
      </c>
      <c r="E10" s="30">
        <f>SUM('Ann 9'!C15:E15)</f>
        <v>558792.31875000009</v>
      </c>
      <c r="F10" s="30">
        <f>SUM('Ann 9'!C16:E16)</f>
        <v>483674.0859375</v>
      </c>
      <c r="G10" s="30">
        <f>SUM('Ann 9'!C17:E17)</f>
        <v>418953.52654687501</v>
      </c>
      <c r="H10" s="30">
        <f>SUM('Ann 9'!C18:E18)</f>
        <v>363157.99571484374</v>
      </c>
      <c r="I10" s="30">
        <f>SUM('Ann 9'!C19:E19)</f>
        <v>315027.0446926172</v>
      </c>
      <c r="J10" s="30">
        <f>SUM('Ann 9'!C20:E20)</f>
        <v>273481.46149022464</v>
      </c>
    </row>
    <row r="11" spans="1:10" x14ac:dyDescent="0.35">
      <c r="A11" s="12" t="s">
        <v>112</v>
      </c>
      <c r="B11" s="30">
        <f>B9-B10</f>
        <v>2209067.25</v>
      </c>
      <c r="C11" s="30">
        <f t="shared" ref="C11:J11" si="1">C9-C10</f>
        <v>3015844.4375</v>
      </c>
      <c r="D11" s="30">
        <f t="shared" si="1"/>
        <v>3407836.58</v>
      </c>
      <c r="E11" s="30">
        <f t="shared" si="1"/>
        <v>3781369.94435</v>
      </c>
      <c r="F11" s="30">
        <f t="shared" si="1"/>
        <v>4138163.7587044993</v>
      </c>
      <c r="G11" s="30">
        <f t="shared" si="1"/>
        <v>4250660.2374075642</v>
      </c>
      <c r="H11" s="30">
        <f t="shared" si="1"/>
        <v>4261726.3319039065</v>
      </c>
      <c r="I11" s="30">
        <f t="shared" si="1"/>
        <v>4233085.9210469453</v>
      </c>
      <c r="J11" s="30">
        <f t="shared" si="1"/>
        <v>4192486.1470386074</v>
      </c>
    </row>
    <row r="12" spans="1:10" x14ac:dyDescent="0.35">
      <c r="A12" s="12" t="s">
        <v>114</v>
      </c>
      <c r="B12" s="54">
        <v>0</v>
      </c>
      <c r="C12" s="54">
        <v>0</v>
      </c>
      <c r="D12" s="54">
        <v>0</v>
      </c>
      <c r="E12" s="54">
        <v>0</v>
      </c>
      <c r="F12" s="54">
        <v>0</v>
      </c>
      <c r="G12" s="54">
        <v>0</v>
      </c>
      <c r="H12" s="54">
        <v>0</v>
      </c>
      <c r="I12" s="54">
        <v>0</v>
      </c>
      <c r="J12" s="54">
        <v>0</v>
      </c>
    </row>
    <row r="13" spans="1:10" x14ac:dyDescent="0.35">
      <c r="A13" s="12" t="s">
        <v>115</v>
      </c>
      <c r="B13" s="40">
        <f>B11</f>
        <v>2209067.25</v>
      </c>
      <c r="C13" s="40">
        <f t="shared" ref="C13:J13" si="2">C11</f>
        <v>3015844.4375</v>
      </c>
      <c r="D13" s="40">
        <f t="shared" si="2"/>
        <v>3407836.58</v>
      </c>
      <c r="E13" s="40">
        <f t="shared" si="2"/>
        <v>3781369.94435</v>
      </c>
      <c r="F13" s="40">
        <f t="shared" si="2"/>
        <v>4138163.7587044993</v>
      </c>
      <c r="G13" s="40">
        <f t="shared" si="2"/>
        <v>4250660.2374075642</v>
      </c>
      <c r="H13" s="40">
        <f t="shared" si="2"/>
        <v>4261726.3319039065</v>
      </c>
      <c r="I13" s="40">
        <f t="shared" si="2"/>
        <v>4233085.9210469453</v>
      </c>
      <c r="J13" s="40">
        <f t="shared" si="2"/>
        <v>4192486.1470386074</v>
      </c>
    </row>
    <row r="14" spans="1:10" x14ac:dyDescent="0.35">
      <c r="A14" s="12" t="s">
        <v>116</v>
      </c>
      <c r="B14" s="40">
        <f>B13*30%</f>
        <v>662720.17499999993</v>
      </c>
      <c r="C14" s="40">
        <f t="shared" ref="C14:J14" si="3">C13*30%</f>
        <v>904753.33124999993</v>
      </c>
      <c r="D14" s="40">
        <f t="shared" si="3"/>
        <v>1022350.9739999999</v>
      </c>
      <c r="E14" s="40">
        <f t="shared" si="3"/>
        <v>1134410.983305</v>
      </c>
      <c r="F14" s="40">
        <f t="shared" si="3"/>
        <v>1241449.1276113498</v>
      </c>
      <c r="G14" s="40">
        <f t="shared" si="3"/>
        <v>1275198.0712222692</v>
      </c>
      <c r="H14" s="40">
        <f t="shared" si="3"/>
        <v>1278517.899571172</v>
      </c>
      <c r="I14" s="40">
        <f t="shared" si="3"/>
        <v>1269925.7763140835</v>
      </c>
      <c r="J14" s="40">
        <f t="shared" si="3"/>
        <v>1257745.8441115823</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34"/>
  <sheetViews>
    <sheetView workbookViewId="0"/>
  </sheetViews>
  <sheetFormatPr defaultRowHeight="14.5" x14ac:dyDescent="0.35"/>
  <cols>
    <col min="2" max="2" width="26.7265625" bestFit="1" customWidth="1"/>
    <col min="3" max="3" width="14.6328125" bestFit="1" customWidth="1"/>
    <col min="4" max="4" width="13.54296875" bestFit="1" customWidth="1"/>
    <col min="5" max="5" width="13.6328125" bestFit="1" customWidth="1"/>
    <col min="15" max="15" width="13.6328125" bestFit="1" customWidth="1"/>
    <col min="16" max="16" width="12.54296875" bestFit="1" customWidth="1"/>
  </cols>
  <sheetData>
    <row r="1" spans="1:7" x14ac:dyDescent="0.35">
      <c r="A1" s="22" t="s">
        <v>71</v>
      </c>
    </row>
    <row r="3" spans="1:7" x14ac:dyDescent="0.35">
      <c r="A3" s="3" t="s">
        <v>72</v>
      </c>
    </row>
    <row r="5" spans="1:7" x14ac:dyDescent="0.35">
      <c r="B5" t="s">
        <v>50</v>
      </c>
      <c r="E5" s="15">
        <f>Budgets!B9/80%</f>
        <v>11038950</v>
      </c>
    </row>
    <row r="6" spans="1:7" x14ac:dyDescent="0.35">
      <c r="B6" t="s">
        <v>73</v>
      </c>
    </row>
    <row r="7" spans="1:7" x14ac:dyDescent="0.35">
      <c r="B7" s="23" t="s">
        <v>74</v>
      </c>
      <c r="D7" s="16">
        <f>E5*1%</f>
        <v>110389.5</v>
      </c>
    </row>
    <row r="8" spans="1:7" x14ac:dyDescent="0.35">
      <c r="B8" s="23" t="s">
        <v>75</v>
      </c>
      <c r="D8" s="16">
        <f>'Ann 1'!C25*100000*10%</f>
        <v>53600</v>
      </c>
      <c r="E8" s="16"/>
    </row>
    <row r="9" spans="1:7" x14ac:dyDescent="0.35">
      <c r="B9" s="23" t="s">
        <v>77</v>
      </c>
      <c r="D9" s="16">
        <f>'Ann 4'!K37</f>
        <v>229730.68125000002</v>
      </c>
      <c r="E9" s="16">
        <f>SUM(D7:D9)</f>
        <v>393720.18125000002</v>
      </c>
      <c r="G9" s="24"/>
    </row>
    <row r="10" spans="1:7" x14ac:dyDescent="0.35">
      <c r="B10" t="s">
        <v>76</v>
      </c>
      <c r="E10" s="16">
        <f>E5-E9</f>
        <v>10645229.81875</v>
      </c>
    </row>
    <row r="11" spans="1:7" x14ac:dyDescent="0.35">
      <c r="B11" t="s">
        <v>258</v>
      </c>
    </row>
    <row r="12" spans="1:7" x14ac:dyDescent="0.35">
      <c r="B12" t="s">
        <v>78</v>
      </c>
      <c r="E12" s="16">
        <f>'Ann 9'!F12</f>
        <v>865250</v>
      </c>
    </row>
    <row r="13" spans="1:7" x14ac:dyDescent="0.35">
      <c r="B13" t="s">
        <v>257</v>
      </c>
      <c r="E13" s="16">
        <v>20000</v>
      </c>
    </row>
    <row r="14" spans="1:7" x14ac:dyDescent="0.35">
      <c r="B14" t="s">
        <v>205</v>
      </c>
      <c r="E14" s="16">
        <f>SUM('Ann 13'!E10:E13)*100000</f>
        <v>347862.75</v>
      </c>
    </row>
    <row r="15" spans="1:7" x14ac:dyDescent="0.35">
      <c r="B15" t="s">
        <v>79</v>
      </c>
      <c r="E15" s="16">
        <f>SUM(E12:E14)</f>
        <v>1233112.75</v>
      </c>
    </row>
    <row r="17" spans="2:5" x14ac:dyDescent="0.35">
      <c r="C17" t="s">
        <v>304</v>
      </c>
      <c r="D17" t="s">
        <v>305</v>
      </c>
      <c r="E17" s="106"/>
    </row>
    <row r="18" spans="2:5" x14ac:dyDescent="0.35">
      <c r="B18" t="s">
        <v>82</v>
      </c>
      <c r="C18">
        <f>Budgets!B13</f>
        <v>2.7</v>
      </c>
      <c r="D18">
        <f>Budgets!C13</f>
        <v>200</v>
      </c>
      <c r="E18" s="106"/>
    </row>
    <row r="19" spans="2:5" x14ac:dyDescent="0.35">
      <c r="B19" t="s">
        <v>309</v>
      </c>
      <c r="C19">
        <f>C18*50%</f>
        <v>1.35</v>
      </c>
      <c r="D19">
        <f>D18*50%</f>
        <v>100</v>
      </c>
      <c r="E19" s="106"/>
    </row>
    <row r="20" spans="2:5" x14ac:dyDescent="0.35">
      <c r="B20" s="23" t="s">
        <v>81</v>
      </c>
      <c r="C20" s="87">
        <v>0.08</v>
      </c>
      <c r="D20">
        <v>27.3</v>
      </c>
      <c r="E20" s="106"/>
    </row>
    <row r="21" spans="2:5" x14ac:dyDescent="0.35">
      <c r="B21" t="s">
        <v>80</v>
      </c>
      <c r="C21" s="87">
        <v>0.32</v>
      </c>
      <c r="D21">
        <v>14.134</v>
      </c>
      <c r="E21" s="106"/>
    </row>
    <row r="22" spans="2:5" x14ac:dyDescent="0.35">
      <c r="B22" t="s">
        <v>256</v>
      </c>
      <c r="C22">
        <f>C18-SUM(C19:C21)</f>
        <v>0.95</v>
      </c>
      <c r="D22">
        <f>D18-SUM(D19:D21)</f>
        <v>58.566000000000003</v>
      </c>
      <c r="E22" s="106"/>
    </row>
    <row r="23" spans="2:5" x14ac:dyDescent="0.35">
      <c r="B23" t="s">
        <v>310</v>
      </c>
      <c r="C23" s="42">
        <f>C22/C18</f>
        <v>0.3518518518518518</v>
      </c>
      <c r="D23" s="42">
        <f>D22/D18</f>
        <v>0.29283000000000003</v>
      </c>
      <c r="E23" s="106"/>
    </row>
    <row r="24" spans="2:5" x14ac:dyDescent="0.35">
      <c r="B24" t="s">
        <v>311</v>
      </c>
      <c r="C24" s="42">
        <f>Budgets!C25/(Budgets!C35+Budgets!C25)</f>
        <v>0.9375</v>
      </c>
      <c r="D24" s="42">
        <f>Budgets!C35/(Budgets!C25+Budgets!C35)</f>
        <v>6.25E-2</v>
      </c>
      <c r="E24" s="106"/>
    </row>
    <row r="25" spans="2:5" x14ac:dyDescent="0.35">
      <c r="B25" t="s">
        <v>312</v>
      </c>
      <c r="C25" s="42">
        <f>C23*C24</f>
        <v>0.32986111111111105</v>
      </c>
      <c r="D25" s="42">
        <f>D23*D24</f>
        <v>1.8301875000000002E-2</v>
      </c>
      <c r="E25" s="107">
        <f>SUM(C25:D25)</f>
        <v>0.34816298611111107</v>
      </c>
    </row>
    <row r="26" spans="2:5" x14ac:dyDescent="0.35">
      <c r="C26" s="42"/>
      <c r="D26" s="42"/>
      <c r="E26" s="107"/>
    </row>
    <row r="27" spans="2:5" x14ac:dyDescent="0.35">
      <c r="B27" t="s">
        <v>313</v>
      </c>
      <c r="C27" s="24">
        <f>E15/E25</f>
        <v>3541768.6520142332</v>
      </c>
    </row>
    <row r="28" spans="2:5" x14ac:dyDescent="0.35">
      <c r="B28" t="s">
        <v>304</v>
      </c>
      <c r="C28" s="24">
        <f>C27*C24</f>
        <v>3320408.1112633436</v>
      </c>
    </row>
    <row r="29" spans="2:5" x14ac:dyDescent="0.35">
      <c r="B29" t="s">
        <v>305</v>
      </c>
      <c r="C29" s="24">
        <f>C27*D24</f>
        <v>221360.54075088957</v>
      </c>
    </row>
    <row r="30" spans="2:5" x14ac:dyDescent="0.35">
      <c r="C30" s="24"/>
    </row>
    <row r="31" spans="2:5" x14ac:dyDescent="0.35">
      <c r="B31" t="s">
        <v>204</v>
      </c>
      <c r="C31" s="42">
        <v>0.62339999999999995</v>
      </c>
    </row>
    <row r="32" spans="2:5" x14ac:dyDescent="0.35">
      <c r="C32" s="42"/>
    </row>
    <row r="33" spans="1:5" ht="49" customHeight="1" x14ac:dyDescent="0.35">
      <c r="A33" s="112" t="s">
        <v>232</v>
      </c>
      <c r="B33" s="112"/>
      <c r="C33" s="112"/>
      <c r="D33" s="112"/>
      <c r="E33" s="112"/>
    </row>
    <row r="34" spans="1:5" ht="86.5" customHeight="1" x14ac:dyDescent="0.35">
      <c r="A34" s="112" t="s">
        <v>314</v>
      </c>
      <c r="B34" s="112"/>
      <c r="C34" s="112"/>
      <c r="D34" s="112"/>
      <c r="E34" s="112"/>
    </row>
  </sheetData>
  <mergeCells count="2">
    <mergeCell ref="A33:E33"/>
    <mergeCell ref="A34:E3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83</v>
      </c>
    </row>
    <row r="3" spans="1:11" x14ac:dyDescent="0.35">
      <c r="C3" s="113" t="s">
        <v>84</v>
      </c>
      <c r="D3" s="113"/>
      <c r="E3" s="113"/>
      <c r="F3" s="113"/>
      <c r="G3" s="113"/>
      <c r="H3" s="113"/>
      <c r="I3" s="113"/>
      <c r="J3" s="113"/>
      <c r="K3" s="113"/>
    </row>
    <row r="4" spans="1:11" x14ac:dyDescent="0.35">
      <c r="C4">
        <v>1</v>
      </c>
      <c r="D4">
        <v>2</v>
      </c>
      <c r="E4">
        <v>3</v>
      </c>
      <c r="F4">
        <v>4</v>
      </c>
      <c r="G4">
        <v>5</v>
      </c>
      <c r="H4">
        <v>6</v>
      </c>
      <c r="I4">
        <v>7</v>
      </c>
      <c r="J4">
        <v>8</v>
      </c>
      <c r="K4">
        <v>9</v>
      </c>
    </row>
    <row r="5" spans="1:11" x14ac:dyDescent="0.35">
      <c r="A5" t="s">
        <v>85</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86</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87</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sheetPr>
    <pageSetUpPr fitToPage="1"/>
  </sheetPr>
  <dimension ref="A1:G41"/>
  <sheetViews>
    <sheetView workbookViewId="0">
      <selection activeCell="A41" sqref="A41:E41"/>
    </sheetView>
  </sheetViews>
  <sheetFormatPr defaultRowHeight="14.5" x14ac:dyDescent="0.35"/>
  <cols>
    <col min="1" max="1" width="4.54296875" bestFit="1" customWidth="1"/>
    <col min="2" max="2" width="7.36328125" bestFit="1" customWidth="1"/>
    <col min="3" max="3" width="17.81640625" bestFit="1" customWidth="1"/>
    <col min="4" max="4" width="17.36328125" bestFit="1" customWidth="1"/>
    <col min="5" max="5" width="7.26953125" bestFit="1" customWidth="1"/>
  </cols>
  <sheetData>
    <row r="1" spans="1:7" x14ac:dyDescent="0.35">
      <c r="A1" s="22" t="s">
        <v>93</v>
      </c>
    </row>
    <row r="3" spans="1:7" x14ac:dyDescent="0.35">
      <c r="A3" s="3" t="s">
        <v>94</v>
      </c>
    </row>
    <row r="4" spans="1:7" x14ac:dyDescent="0.35">
      <c r="A4" t="s">
        <v>95</v>
      </c>
      <c r="D4" s="2">
        <f>'Ann 2'!C6</f>
        <v>58.54</v>
      </c>
    </row>
    <row r="5" spans="1:7" x14ac:dyDescent="0.35">
      <c r="A5" t="s">
        <v>315</v>
      </c>
      <c r="D5" s="108">
        <f>25%*'Ann 1'!C39</f>
        <v>17.75</v>
      </c>
    </row>
    <row r="6" spans="1:7" x14ac:dyDescent="0.35">
      <c r="A6" t="s">
        <v>96</v>
      </c>
      <c r="D6" s="99">
        <v>0.06</v>
      </c>
    </row>
    <row r="7" spans="1:7" x14ac:dyDescent="0.35">
      <c r="A7" t="s">
        <v>97</v>
      </c>
      <c r="D7" s="100" t="s">
        <v>158</v>
      </c>
    </row>
    <row r="9" spans="1:7" x14ac:dyDescent="0.35">
      <c r="A9" s="34" t="s">
        <v>70</v>
      </c>
      <c r="B9" s="34" t="s">
        <v>98</v>
      </c>
      <c r="C9" s="34" t="s">
        <v>99</v>
      </c>
      <c r="D9" s="34" t="s">
        <v>101</v>
      </c>
      <c r="E9" s="34" t="s">
        <v>100</v>
      </c>
    </row>
    <row r="10" spans="1:7" x14ac:dyDescent="0.35">
      <c r="A10" s="114">
        <v>1</v>
      </c>
      <c r="B10" s="12">
        <v>1</v>
      </c>
      <c r="C10" s="65">
        <f>$D$4</f>
        <v>58.54</v>
      </c>
      <c r="D10" s="12">
        <v>0</v>
      </c>
      <c r="E10" s="12">
        <f>C10*$D$6/4</f>
        <v>0.87809999999999999</v>
      </c>
    </row>
    <row r="11" spans="1:7" x14ac:dyDescent="0.35">
      <c r="A11" s="114"/>
      <c r="B11" s="12">
        <v>2</v>
      </c>
      <c r="C11" s="65">
        <f>$D$4</f>
        <v>58.54</v>
      </c>
      <c r="D11" s="12">
        <v>0</v>
      </c>
      <c r="E11" s="12">
        <f t="shared" ref="E11:E30" si="0">C11*$D$6/4</f>
        <v>0.87809999999999999</v>
      </c>
      <c r="G11" s="68"/>
    </row>
    <row r="12" spans="1:7" x14ac:dyDescent="0.35">
      <c r="A12" s="114"/>
      <c r="B12" s="12">
        <v>3</v>
      </c>
      <c r="C12" s="65">
        <f>$D$4</f>
        <v>58.54</v>
      </c>
      <c r="D12" s="12">
        <v>2.2515000000000001</v>
      </c>
      <c r="E12" s="12">
        <f t="shared" si="0"/>
        <v>0.87809999999999999</v>
      </c>
    </row>
    <row r="13" spans="1:7" x14ac:dyDescent="0.35">
      <c r="A13" s="114"/>
      <c r="B13" s="12">
        <v>4</v>
      </c>
      <c r="C13" s="12">
        <f t="shared" ref="C13:C18" si="1">C12-D12</f>
        <v>56.288499999999999</v>
      </c>
      <c r="D13" s="12">
        <f>D12</f>
        <v>2.2515000000000001</v>
      </c>
      <c r="E13" s="12">
        <f t="shared" si="0"/>
        <v>0.84432750000000001</v>
      </c>
    </row>
    <row r="14" spans="1:7" x14ac:dyDescent="0.35">
      <c r="A14" s="114">
        <v>2</v>
      </c>
      <c r="B14" s="12">
        <v>1</v>
      </c>
      <c r="C14" s="12">
        <f t="shared" si="1"/>
        <v>54.036999999999999</v>
      </c>
      <c r="D14" s="12">
        <f t="shared" ref="D14:D36" si="2">D13</f>
        <v>2.2515000000000001</v>
      </c>
      <c r="E14" s="12">
        <f t="shared" si="0"/>
        <v>0.81055499999999991</v>
      </c>
    </row>
    <row r="15" spans="1:7" x14ac:dyDescent="0.35">
      <c r="A15" s="114"/>
      <c r="B15" s="12">
        <v>2</v>
      </c>
      <c r="C15" s="12">
        <f t="shared" si="1"/>
        <v>51.785499999999999</v>
      </c>
      <c r="D15" s="12">
        <f t="shared" si="2"/>
        <v>2.2515000000000001</v>
      </c>
      <c r="E15" s="12">
        <f t="shared" si="0"/>
        <v>0.77678249999999993</v>
      </c>
    </row>
    <row r="16" spans="1:7" x14ac:dyDescent="0.35">
      <c r="A16" s="114"/>
      <c r="B16" s="12">
        <v>3</v>
      </c>
      <c r="C16" s="12">
        <f t="shared" si="1"/>
        <v>49.533999999999999</v>
      </c>
      <c r="D16" s="12">
        <f t="shared" si="2"/>
        <v>2.2515000000000001</v>
      </c>
      <c r="E16" s="12">
        <f t="shared" si="0"/>
        <v>0.74300999999999995</v>
      </c>
    </row>
    <row r="17" spans="1:5" x14ac:dyDescent="0.35">
      <c r="A17" s="114"/>
      <c r="B17" s="12">
        <v>4</v>
      </c>
      <c r="C17" s="12">
        <f t="shared" si="1"/>
        <v>47.282499999999999</v>
      </c>
      <c r="D17" s="12">
        <f t="shared" si="2"/>
        <v>2.2515000000000001</v>
      </c>
      <c r="E17" s="12">
        <f t="shared" si="0"/>
        <v>0.70923749999999997</v>
      </c>
    </row>
    <row r="18" spans="1:5" x14ac:dyDescent="0.35">
      <c r="A18" s="114">
        <v>3</v>
      </c>
      <c r="B18" s="12">
        <v>1</v>
      </c>
      <c r="C18" s="12">
        <f t="shared" si="1"/>
        <v>45.030999999999999</v>
      </c>
      <c r="D18" s="12">
        <f t="shared" si="2"/>
        <v>2.2515000000000001</v>
      </c>
      <c r="E18" s="12">
        <f t="shared" si="0"/>
        <v>0.67546499999999998</v>
      </c>
    </row>
    <row r="19" spans="1:5" x14ac:dyDescent="0.35">
      <c r="A19" s="114"/>
      <c r="B19" s="12">
        <v>2</v>
      </c>
      <c r="C19" s="12">
        <f t="shared" ref="C19:C37" si="3">C18-D18</f>
        <v>42.779499999999999</v>
      </c>
      <c r="D19" s="12">
        <f t="shared" si="2"/>
        <v>2.2515000000000001</v>
      </c>
      <c r="E19" s="12">
        <f t="shared" si="0"/>
        <v>0.6416925</v>
      </c>
    </row>
    <row r="20" spans="1:5" x14ac:dyDescent="0.35">
      <c r="A20" s="114"/>
      <c r="B20" s="12">
        <v>3</v>
      </c>
      <c r="C20" s="12">
        <f t="shared" si="3"/>
        <v>40.527999999999999</v>
      </c>
      <c r="D20" s="12">
        <f t="shared" si="2"/>
        <v>2.2515000000000001</v>
      </c>
      <c r="E20" s="12">
        <f t="shared" si="0"/>
        <v>0.6079199999999999</v>
      </c>
    </row>
    <row r="21" spans="1:5" x14ac:dyDescent="0.35">
      <c r="A21" s="114"/>
      <c r="B21" s="12">
        <v>4</v>
      </c>
      <c r="C21" s="12">
        <f t="shared" si="3"/>
        <v>38.276499999999999</v>
      </c>
      <c r="D21" s="12">
        <f t="shared" si="2"/>
        <v>2.2515000000000001</v>
      </c>
      <c r="E21" s="12">
        <f t="shared" si="0"/>
        <v>0.57414749999999992</v>
      </c>
    </row>
    <row r="22" spans="1:5" x14ac:dyDescent="0.35">
      <c r="A22" s="114">
        <v>4</v>
      </c>
      <c r="B22" s="12">
        <v>1</v>
      </c>
      <c r="C22" s="12">
        <f t="shared" si="3"/>
        <v>36.024999999999999</v>
      </c>
      <c r="D22" s="12">
        <f t="shared" si="2"/>
        <v>2.2515000000000001</v>
      </c>
      <c r="E22" s="12">
        <f t="shared" si="0"/>
        <v>0.54037499999999994</v>
      </c>
    </row>
    <row r="23" spans="1:5" x14ac:dyDescent="0.35">
      <c r="A23" s="114"/>
      <c r="B23" s="12">
        <v>2</v>
      </c>
      <c r="C23" s="12">
        <f t="shared" si="3"/>
        <v>33.773499999999999</v>
      </c>
      <c r="D23" s="12">
        <f t="shared" si="2"/>
        <v>2.2515000000000001</v>
      </c>
      <c r="E23" s="12">
        <f t="shared" si="0"/>
        <v>0.50660249999999996</v>
      </c>
    </row>
    <row r="24" spans="1:5" x14ac:dyDescent="0.35">
      <c r="A24" s="114"/>
      <c r="B24" s="12">
        <v>3</v>
      </c>
      <c r="C24" s="12">
        <f t="shared" si="3"/>
        <v>31.521999999999998</v>
      </c>
      <c r="D24" s="12">
        <f t="shared" si="2"/>
        <v>2.2515000000000001</v>
      </c>
      <c r="E24" s="12">
        <f t="shared" si="0"/>
        <v>0.47282999999999997</v>
      </c>
    </row>
    <row r="25" spans="1:5" x14ac:dyDescent="0.35">
      <c r="A25" s="114"/>
      <c r="B25" s="12">
        <v>4</v>
      </c>
      <c r="C25" s="12">
        <f t="shared" si="3"/>
        <v>29.270499999999998</v>
      </c>
      <c r="D25" s="12">
        <f t="shared" si="2"/>
        <v>2.2515000000000001</v>
      </c>
      <c r="E25" s="12">
        <f t="shared" si="0"/>
        <v>0.43905749999999993</v>
      </c>
    </row>
    <row r="26" spans="1:5" x14ac:dyDescent="0.35">
      <c r="A26" s="114">
        <v>5</v>
      </c>
      <c r="B26" s="12">
        <v>1</v>
      </c>
      <c r="C26" s="12">
        <f t="shared" si="3"/>
        <v>27.018999999999998</v>
      </c>
      <c r="D26" s="12">
        <f t="shared" si="2"/>
        <v>2.2515000000000001</v>
      </c>
      <c r="E26" s="12">
        <f t="shared" si="0"/>
        <v>0.40528499999999995</v>
      </c>
    </row>
    <row r="27" spans="1:5" x14ac:dyDescent="0.35">
      <c r="A27" s="114"/>
      <c r="B27" s="12">
        <v>2</v>
      </c>
      <c r="C27" s="12">
        <f t="shared" si="3"/>
        <v>24.767499999999998</v>
      </c>
      <c r="D27" s="12">
        <f t="shared" si="2"/>
        <v>2.2515000000000001</v>
      </c>
      <c r="E27" s="12">
        <f t="shared" si="0"/>
        <v>0.37151249999999997</v>
      </c>
    </row>
    <row r="28" spans="1:5" x14ac:dyDescent="0.35">
      <c r="A28" s="114"/>
      <c r="B28" s="12">
        <v>3</v>
      </c>
      <c r="C28" s="12">
        <f t="shared" si="3"/>
        <v>22.515999999999998</v>
      </c>
      <c r="D28" s="12">
        <f t="shared" si="2"/>
        <v>2.2515000000000001</v>
      </c>
      <c r="E28" s="12">
        <f t="shared" si="0"/>
        <v>0.33773999999999998</v>
      </c>
    </row>
    <row r="29" spans="1:5" x14ac:dyDescent="0.35">
      <c r="A29" s="114"/>
      <c r="B29" s="12">
        <v>4</v>
      </c>
      <c r="C29" s="12">
        <f t="shared" si="3"/>
        <v>20.264499999999998</v>
      </c>
      <c r="D29" s="12">
        <f t="shared" si="2"/>
        <v>2.2515000000000001</v>
      </c>
      <c r="E29" s="12">
        <f t="shared" si="0"/>
        <v>0.30396749999999995</v>
      </c>
    </row>
    <row r="30" spans="1:5" x14ac:dyDescent="0.35">
      <c r="A30" s="114">
        <v>6</v>
      </c>
      <c r="B30" s="12">
        <v>1</v>
      </c>
      <c r="C30" s="12">
        <f t="shared" si="3"/>
        <v>18.012999999999998</v>
      </c>
      <c r="D30" s="12">
        <v>0.26300000000000001</v>
      </c>
      <c r="E30" s="12">
        <f t="shared" si="0"/>
        <v>0.27019499999999996</v>
      </c>
    </row>
    <row r="31" spans="1:5" x14ac:dyDescent="0.35">
      <c r="A31" s="114"/>
      <c r="B31" s="12">
        <v>2</v>
      </c>
      <c r="C31" s="12">
        <f t="shared" si="3"/>
        <v>17.749999999999996</v>
      </c>
      <c r="D31" s="12">
        <v>0</v>
      </c>
      <c r="E31" s="12">
        <v>0</v>
      </c>
    </row>
    <row r="32" spans="1:5" x14ac:dyDescent="0.35">
      <c r="A32" s="114"/>
      <c r="B32" s="12">
        <v>3</v>
      </c>
      <c r="C32" s="12">
        <v>0</v>
      </c>
      <c r="D32" s="12">
        <v>0</v>
      </c>
      <c r="E32" s="12">
        <v>0</v>
      </c>
    </row>
    <row r="33" spans="1:5" x14ac:dyDescent="0.35">
      <c r="A33" s="114"/>
      <c r="B33" s="12">
        <v>4</v>
      </c>
      <c r="C33" s="12">
        <v>0</v>
      </c>
      <c r="D33" s="12">
        <f t="shared" si="2"/>
        <v>0</v>
      </c>
      <c r="E33" s="12">
        <v>0</v>
      </c>
    </row>
    <row r="34" spans="1:5" x14ac:dyDescent="0.35">
      <c r="A34" s="114">
        <v>7</v>
      </c>
      <c r="B34" s="12">
        <v>1</v>
      </c>
      <c r="C34" s="12">
        <v>0</v>
      </c>
      <c r="D34" s="12">
        <f t="shared" si="2"/>
        <v>0</v>
      </c>
      <c r="E34" s="12">
        <v>0</v>
      </c>
    </row>
    <row r="35" spans="1:5" x14ac:dyDescent="0.35">
      <c r="A35" s="114"/>
      <c r="B35" s="12">
        <v>2</v>
      </c>
      <c r="C35" s="12">
        <f t="shared" si="3"/>
        <v>0</v>
      </c>
      <c r="D35" s="12">
        <f t="shared" si="2"/>
        <v>0</v>
      </c>
      <c r="E35" s="12">
        <v>0</v>
      </c>
    </row>
    <row r="36" spans="1:5" x14ac:dyDescent="0.35">
      <c r="A36" s="114"/>
      <c r="B36" s="12">
        <v>3</v>
      </c>
      <c r="C36" s="12">
        <f t="shared" si="3"/>
        <v>0</v>
      </c>
      <c r="D36" s="12">
        <f t="shared" si="2"/>
        <v>0</v>
      </c>
      <c r="E36" s="12">
        <v>0</v>
      </c>
    </row>
    <row r="37" spans="1:5" x14ac:dyDescent="0.35">
      <c r="A37" s="114"/>
      <c r="B37" s="12">
        <v>4</v>
      </c>
      <c r="C37" s="12">
        <f t="shared" si="3"/>
        <v>0</v>
      </c>
      <c r="D37" s="103">
        <v>0</v>
      </c>
      <c r="E37" s="12">
        <v>0</v>
      </c>
    </row>
    <row r="39" spans="1:5" ht="59" customHeight="1" x14ac:dyDescent="0.35">
      <c r="A39" s="112" t="s">
        <v>320</v>
      </c>
      <c r="B39" s="112"/>
      <c r="C39" s="112"/>
      <c r="D39" s="112"/>
      <c r="E39" s="112"/>
    </row>
    <row r="40" spans="1:5" ht="44" customHeight="1" x14ac:dyDescent="0.35">
      <c r="A40" s="112" t="s">
        <v>319</v>
      </c>
      <c r="B40" s="112"/>
      <c r="C40" s="112"/>
      <c r="D40" s="112"/>
      <c r="E40" s="112"/>
    </row>
    <row r="41" spans="1:5" ht="44" customHeight="1" x14ac:dyDescent="0.35">
      <c r="A41" s="112" t="s">
        <v>316</v>
      </c>
      <c r="B41" s="112"/>
      <c r="C41" s="112"/>
      <c r="D41" s="112"/>
      <c r="E41" s="112"/>
    </row>
  </sheetData>
  <mergeCells count="10">
    <mergeCell ref="A39:E39"/>
    <mergeCell ref="A40:E40"/>
    <mergeCell ref="A41:E41"/>
    <mergeCell ref="A34:A37"/>
    <mergeCell ref="A10:A13"/>
    <mergeCell ref="A14:A17"/>
    <mergeCell ref="A18:A21"/>
    <mergeCell ref="A22:A25"/>
    <mergeCell ref="A26:A29"/>
    <mergeCell ref="A30:A33"/>
  </mergeCells>
  <pageMargins left="0.7" right="0.7" top="0.75" bottom="0.75" header="0.3" footer="0.3"/>
  <pageSetup scale="9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J35"/>
  <sheetViews>
    <sheetView topLeftCell="A9" workbookViewId="0">
      <selection activeCell="C25" sqref="C25"/>
    </sheetView>
  </sheetViews>
  <sheetFormatPr defaultRowHeight="14.5" x14ac:dyDescent="0.35"/>
  <cols>
    <col min="1" max="1" width="28.26953125" customWidth="1"/>
    <col min="2" max="2" width="17.08984375" bestFit="1" customWidth="1"/>
    <col min="3" max="10" width="14.54296875" bestFit="1" customWidth="1"/>
    <col min="11" max="11" width="12.54296875" bestFit="1" customWidth="1"/>
  </cols>
  <sheetData>
    <row r="1" spans="1:10" x14ac:dyDescent="0.35">
      <c r="A1" s="22" t="s">
        <v>171</v>
      </c>
    </row>
    <row r="2" spans="1:10" x14ac:dyDescent="0.35">
      <c r="B2" s="113" t="s">
        <v>48</v>
      </c>
      <c r="C2" s="113"/>
      <c r="D2" s="113"/>
      <c r="E2" s="113"/>
      <c r="F2" s="113"/>
      <c r="G2" s="113"/>
      <c r="H2" s="113"/>
      <c r="I2" s="113"/>
      <c r="J2" s="113"/>
    </row>
    <row r="3" spans="1:10" x14ac:dyDescent="0.35">
      <c r="A3" s="12"/>
      <c r="B3" s="12" t="s">
        <v>39</v>
      </c>
      <c r="C3" s="12" t="s">
        <v>40</v>
      </c>
      <c r="D3" s="12" t="s">
        <v>41</v>
      </c>
      <c r="E3" s="12" t="s">
        <v>42</v>
      </c>
      <c r="F3" s="12" t="s">
        <v>43</v>
      </c>
      <c r="G3" s="12" t="s">
        <v>44</v>
      </c>
      <c r="H3" s="12" t="s">
        <v>45</v>
      </c>
      <c r="I3" s="12" t="s">
        <v>46</v>
      </c>
      <c r="J3" s="12" t="s">
        <v>47</v>
      </c>
    </row>
    <row r="4" spans="1:10" x14ac:dyDescent="0.35">
      <c r="A4" s="12" t="s">
        <v>254</v>
      </c>
      <c r="B4" s="73">
        <v>0.8</v>
      </c>
      <c r="C4" s="73">
        <v>0.85</v>
      </c>
      <c r="D4" s="73">
        <v>0.9</v>
      </c>
      <c r="E4" s="73">
        <v>0.95</v>
      </c>
      <c r="F4" s="73">
        <v>1</v>
      </c>
      <c r="G4" s="73">
        <v>1</v>
      </c>
      <c r="H4" s="73">
        <v>1</v>
      </c>
      <c r="I4" s="73">
        <v>1</v>
      </c>
      <c r="J4" s="73">
        <v>1</v>
      </c>
    </row>
    <row r="5" spans="1:10" x14ac:dyDescent="0.35">
      <c r="A5" s="12" t="s">
        <v>295</v>
      </c>
      <c r="B5" s="30">
        <f>$C$25*B4</f>
        <v>550800</v>
      </c>
      <c r="C5" s="30">
        <f t="shared" ref="C5:J5" si="0">$C$25*C4</f>
        <v>585225</v>
      </c>
      <c r="D5" s="30">
        <f t="shared" si="0"/>
        <v>619650</v>
      </c>
      <c r="E5" s="30">
        <f t="shared" si="0"/>
        <v>654075</v>
      </c>
      <c r="F5" s="30">
        <f t="shared" si="0"/>
        <v>688500</v>
      </c>
      <c r="G5" s="30">
        <f t="shared" si="0"/>
        <v>688500</v>
      </c>
      <c r="H5" s="30">
        <f t="shared" si="0"/>
        <v>688500</v>
      </c>
      <c r="I5" s="30">
        <f t="shared" si="0"/>
        <v>688500</v>
      </c>
      <c r="J5" s="30">
        <f t="shared" si="0"/>
        <v>688500</v>
      </c>
    </row>
    <row r="6" spans="1:10" x14ac:dyDescent="0.35">
      <c r="A6" s="12" t="s">
        <v>296</v>
      </c>
      <c r="B6" s="30">
        <f>$C$35*B4</f>
        <v>36720</v>
      </c>
      <c r="C6" s="30">
        <f t="shared" ref="C6:J6" si="1">$C$35*C4</f>
        <v>39015</v>
      </c>
      <c r="D6" s="30">
        <f t="shared" si="1"/>
        <v>41310</v>
      </c>
      <c r="E6" s="30">
        <f t="shared" si="1"/>
        <v>43605</v>
      </c>
      <c r="F6" s="30">
        <f t="shared" si="1"/>
        <v>45900</v>
      </c>
      <c r="G6" s="30">
        <f t="shared" si="1"/>
        <v>45900</v>
      </c>
      <c r="H6" s="30">
        <f t="shared" si="1"/>
        <v>45900</v>
      </c>
      <c r="I6" s="30">
        <f t="shared" si="1"/>
        <v>45900</v>
      </c>
      <c r="J6" s="30">
        <f t="shared" si="1"/>
        <v>45900</v>
      </c>
    </row>
    <row r="7" spans="1:10" x14ac:dyDescent="0.35">
      <c r="A7" s="12" t="s">
        <v>299</v>
      </c>
      <c r="B7" s="54">
        <f>B5*$B$13</f>
        <v>1487160</v>
      </c>
      <c r="C7" s="54">
        <f>C5*$B$13*1.05</f>
        <v>1659112.875</v>
      </c>
      <c r="D7" s="54">
        <f t="shared" ref="D7:J7" si="2">D5*$B$13*1.05</f>
        <v>1756707.75</v>
      </c>
      <c r="E7" s="54">
        <f t="shared" si="2"/>
        <v>1854302.625</v>
      </c>
      <c r="F7" s="54">
        <f t="shared" si="2"/>
        <v>1951897.5000000002</v>
      </c>
      <c r="G7" s="54">
        <f t="shared" si="2"/>
        <v>1951897.5000000002</v>
      </c>
      <c r="H7" s="54">
        <f t="shared" si="2"/>
        <v>1951897.5000000002</v>
      </c>
      <c r="I7" s="54">
        <f t="shared" si="2"/>
        <v>1951897.5000000002</v>
      </c>
      <c r="J7" s="54">
        <f t="shared" si="2"/>
        <v>1951897.5000000002</v>
      </c>
    </row>
    <row r="8" spans="1:10" x14ac:dyDescent="0.35">
      <c r="A8" s="12" t="s">
        <v>300</v>
      </c>
      <c r="B8" s="54">
        <f>B6*$C$13</f>
        <v>7344000</v>
      </c>
      <c r="C8" s="54">
        <f>C6*$C$13*1.1</f>
        <v>8583300</v>
      </c>
      <c r="D8" s="54">
        <f t="shared" ref="D8:J8" si="3">D6*$C$13*1.1</f>
        <v>9088200</v>
      </c>
      <c r="E8" s="54">
        <f t="shared" si="3"/>
        <v>9593100</v>
      </c>
      <c r="F8" s="54">
        <f t="shared" si="3"/>
        <v>10098000</v>
      </c>
      <c r="G8" s="54">
        <f t="shared" si="3"/>
        <v>10098000</v>
      </c>
      <c r="H8" s="54">
        <f t="shared" si="3"/>
        <v>10098000</v>
      </c>
      <c r="I8" s="54">
        <f t="shared" si="3"/>
        <v>10098000</v>
      </c>
      <c r="J8" s="54">
        <f t="shared" si="3"/>
        <v>10098000</v>
      </c>
    </row>
    <row r="9" spans="1:10" s="5" customFormat="1" x14ac:dyDescent="0.35">
      <c r="A9" s="41" t="s">
        <v>301</v>
      </c>
      <c r="B9" s="54">
        <f>B7+B8</f>
        <v>8831160</v>
      </c>
      <c r="C9" s="54">
        <f t="shared" ref="C9:J9" si="4">C7+C8</f>
        <v>10242412.875</v>
      </c>
      <c r="D9" s="54">
        <f t="shared" si="4"/>
        <v>10844907.75</v>
      </c>
      <c r="E9" s="54">
        <f t="shared" si="4"/>
        <v>11447402.625</v>
      </c>
      <c r="F9" s="54">
        <f t="shared" si="4"/>
        <v>12049897.5</v>
      </c>
      <c r="G9" s="54">
        <f t="shared" si="4"/>
        <v>12049897.5</v>
      </c>
      <c r="H9" s="54">
        <f t="shared" si="4"/>
        <v>12049897.5</v>
      </c>
      <c r="I9" s="54">
        <f t="shared" si="4"/>
        <v>12049897.5</v>
      </c>
      <c r="J9" s="54">
        <f t="shared" si="4"/>
        <v>12049897.5</v>
      </c>
    </row>
    <row r="10" spans="1:10" x14ac:dyDescent="0.35">
      <c r="A10" s="5"/>
      <c r="B10" s="102"/>
      <c r="C10" s="102"/>
      <c r="D10" s="102"/>
      <c r="E10" s="102"/>
      <c r="F10" s="102"/>
      <c r="G10" s="102"/>
      <c r="H10" s="102"/>
      <c r="I10" s="102"/>
      <c r="J10" s="102"/>
    </row>
    <row r="11" spans="1:10" x14ac:dyDescent="0.35">
      <c r="B11" s="2"/>
      <c r="C11" s="2"/>
      <c r="D11" s="2"/>
      <c r="E11" s="2"/>
      <c r="F11" s="2"/>
      <c r="G11" s="2"/>
      <c r="H11" s="2"/>
      <c r="I11" s="2"/>
      <c r="J11" s="2"/>
    </row>
    <row r="12" spans="1:10" s="71" customFormat="1" ht="29" x14ac:dyDescent="0.35">
      <c r="A12" s="69" t="s">
        <v>172</v>
      </c>
      <c r="B12" s="104" t="s">
        <v>297</v>
      </c>
      <c r="C12" s="70" t="s">
        <v>298</v>
      </c>
      <c r="D12" s="72"/>
    </row>
    <row r="13" spans="1:10" s="71" customFormat="1" x14ac:dyDescent="0.35">
      <c r="A13" s="69" t="s">
        <v>173</v>
      </c>
      <c r="B13" s="105">
        <v>2.7</v>
      </c>
      <c r="C13" s="70">
        <v>200</v>
      </c>
      <c r="D13" s="72"/>
    </row>
    <row r="15" spans="1:10" x14ac:dyDescent="0.35">
      <c r="A15" s="22" t="s">
        <v>288</v>
      </c>
    </row>
    <row r="16" spans="1:10" x14ac:dyDescent="0.35">
      <c r="A16" t="s">
        <v>271</v>
      </c>
      <c r="B16" t="s">
        <v>272</v>
      </c>
      <c r="C16">
        <v>1</v>
      </c>
    </row>
    <row r="17" spans="1:3" x14ac:dyDescent="0.35">
      <c r="A17" t="s">
        <v>273</v>
      </c>
      <c r="B17" t="s">
        <v>274</v>
      </c>
      <c r="C17">
        <v>12</v>
      </c>
    </row>
    <row r="18" spans="1:3" x14ac:dyDescent="0.35">
      <c r="A18" t="s">
        <v>275</v>
      </c>
      <c r="B18" t="s">
        <v>276</v>
      </c>
      <c r="C18">
        <v>360</v>
      </c>
    </row>
    <row r="19" spans="1:3" x14ac:dyDescent="0.35">
      <c r="A19" t="s">
        <v>277</v>
      </c>
      <c r="B19" t="s">
        <v>276</v>
      </c>
      <c r="C19">
        <v>40</v>
      </c>
    </row>
    <row r="20" spans="1:3" x14ac:dyDescent="0.35">
      <c r="A20" t="s">
        <v>278</v>
      </c>
      <c r="B20" t="s">
        <v>279</v>
      </c>
      <c r="C20">
        <v>9</v>
      </c>
    </row>
    <row r="21" spans="1:3" x14ac:dyDescent="0.35">
      <c r="A21" t="s">
        <v>280</v>
      </c>
      <c r="B21" t="s">
        <v>281</v>
      </c>
      <c r="C21">
        <v>15</v>
      </c>
    </row>
    <row r="22" spans="1:3" x14ac:dyDescent="0.35">
      <c r="A22" t="s">
        <v>282</v>
      </c>
      <c r="B22" t="s">
        <v>283</v>
      </c>
      <c r="C22">
        <v>50</v>
      </c>
    </row>
    <row r="23" spans="1:3" x14ac:dyDescent="0.35">
      <c r="A23" t="s">
        <v>284</v>
      </c>
      <c r="B23" t="s">
        <v>285</v>
      </c>
      <c r="C23">
        <v>102</v>
      </c>
    </row>
    <row r="24" spans="1:3" x14ac:dyDescent="0.35">
      <c r="A24" t="s">
        <v>286</v>
      </c>
      <c r="B24" t="s">
        <v>283</v>
      </c>
      <c r="C24">
        <v>5100</v>
      </c>
    </row>
    <row r="25" spans="1:3" x14ac:dyDescent="0.35">
      <c r="A25" t="s">
        <v>287</v>
      </c>
      <c r="B25" t="s">
        <v>283</v>
      </c>
      <c r="C25">
        <v>688500</v>
      </c>
    </row>
    <row r="26" spans="1:3" x14ac:dyDescent="0.35">
      <c r="B26" t="s">
        <v>270</v>
      </c>
      <c r="C26">
        <v>688.5</v>
      </c>
    </row>
    <row r="28" spans="1:3" x14ac:dyDescent="0.35">
      <c r="A28" s="22" t="s">
        <v>289</v>
      </c>
    </row>
    <row r="29" spans="1:3" x14ac:dyDescent="0.35">
      <c r="A29" t="s">
        <v>271</v>
      </c>
      <c r="B29" t="s">
        <v>272</v>
      </c>
      <c r="C29">
        <v>1</v>
      </c>
    </row>
    <row r="30" spans="1:3" x14ac:dyDescent="0.35">
      <c r="A30" t="s">
        <v>273</v>
      </c>
      <c r="B30" t="s">
        <v>274</v>
      </c>
      <c r="C30">
        <v>24</v>
      </c>
    </row>
    <row r="31" spans="1:3" x14ac:dyDescent="0.35">
      <c r="A31" t="s">
        <v>275</v>
      </c>
      <c r="B31" t="s">
        <v>276</v>
      </c>
      <c r="C31">
        <v>360</v>
      </c>
    </row>
    <row r="32" spans="1:3" x14ac:dyDescent="0.35">
      <c r="A32" t="s">
        <v>290</v>
      </c>
      <c r="B32" t="s">
        <v>291</v>
      </c>
      <c r="C32">
        <v>1.25</v>
      </c>
    </row>
    <row r="33" spans="1:4" x14ac:dyDescent="0.35">
      <c r="A33" t="s">
        <v>292</v>
      </c>
      <c r="B33" t="s">
        <v>285</v>
      </c>
      <c r="C33">
        <v>102</v>
      </c>
    </row>
    <row r="34" spans="1:4" x14ac:dyDescent="0.35">
      <c r="A34" t="s">
        <v>293</v>
      </c>
      <c r="B34" t="s">
        <v>291</v>
      </c>
      <c r="C34">
        <v>127.5</v>
      </c>
    </row>
    <row r="35" spans="1:4" x14ac:dyDescent="0.35">
      <c r="A35" t="s">
        <v>294</v>
      </c>
      <c r="B35" t="s">
        <v>291</v>
      </c>
      <c r="C35">
        <v>45900</v>
      </c>
      <c r="D35">
        <f>C35+C25</f>
        <v>734400</v>
      </c>
    </row>
  </sheetData>
  <mergeCells count="1">
    <mergeCell ref="B2:J2"/>
  </mergeCells>
  <pageMargins left="0.7" right="0.7" top="0.75" bottom="0.75" header="0.3" footer="0.3"/>
  <pageSetup scale="7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1"/>
  <sheetViews>
    <sheetView topLeftCell="A11" workbookViewId="0">
      <selection activeCell="A22" sqref="A22:L30"/>
    </sheetView>
  </sheetViews>
  <sheetFormatPr defaultRowHeight="14.5" x14ac:dyDescent="0.35"/>
  <cols>
    <col min="1" max="1" width="41.1796875" style="68" bestFit="1" customWidth="1"/>
    <col min="2" max="2" width="14.7265625" style="68" customWidth="1"/>
    <col min="3" max="11" width="14.7265625" style="68" bestFit="1" customWidth="1"/>
    <col min="12" max="12" width="13.6328125" style="68" bestFit="1" customWidth="1"/>
    <col min="13" max="16384" width="8.7265625" style="68"/>
  </cols>
  <sheetData>
    <row r="1" spans="1:11" x14ac:dyDescent="0.35">
      <c r="A1" s="79" t="s">
        <v>182</v>
      </c>
      <c r="B1" s="79"/>
    </row>
    <row r="2" spans="1:11" x14ac:dyDescent="0.35">
      <c r="A2" s="79"/>
      <c r="B2" s="79"/>
    </row>
    <row r="3" spans="1:11" x14ac:dyDescent="0.35">
      <c r="A3" s="80" t="s">
        <v>3</v>
      </c>
      <c r="B3" s="80">
        <v>0</v>
      </c>
      <c r="C3" s="80" t="s">
        <v>39</v>
      </c>
      <c r="D3" s="80" t="s">
        <v>40</v>
      </c>
      <c r="E3" s="80" t="s">
        <v>41</v>
      </c>
      <c r="F3" s="80" t="s">
        <v>42</v>
      </c>
      <c r="G3" s="80" t="s">
        <v>43</v>
      </c>
      <c r="H3" s="80" t="s">
        <v>44</v>
      </c>
      <c r="I3" s="80" t="s">
        <v>45</v>
      </c>
      <c r="J3" s="80" t="s">
        <v>46</v>
      </c>
      <c r="K3" s="80" t="s">
        <v>47</v>
      </c>
    </row>
    <row r="4" spans="1:11" x14ac:dyDescent="0.35">
      <c r="A4" s="81" t="s">
        <v>164</v>
      </c>
      <c r="B4" s="82">
        <f>'Ann 2'!C7*100000</f>
        <v>536000</v>
      </c>
      <c r="C4" s="82">
        <f>B20</f>
        <v>536000</v>
      </c>
      <c r="D4" s="82">
        <f>C20</f>
        <v>1856996.2647727286</v>
      </c>
      <c r="E4" s="82">
        <f t="shared" ref="E4:K4" si="0">D20</f>
        <v>2768640.4088068181</v>
      </c>
      <c r="F4" s="82">
        <f t="shared" si="0"/>
        <v>3716764.754079544</v>
      </c>
      <c r="G4" s="82">
        <f t="shared" si="0"/>
        <v>4709085.3723338638</v>
      </c>
      <c r="H4" s="82">
        <f t="shared" si="0"/>
        <v>5751911.0101284841</v>
      </c>
      <c r="I4" s="82">
        <f t="shared" si="0"/>
        <v>6756987.4526202884</v>
      </c>
      <c r="J4" s="82">
        <f t="shared" si="0"/>
        <v>8624794.9256534446</v>
      </c>
      <c r="K4" s="82">
        <f t="shared" si="0"/>
        <v>10435360.472145069</v>
      </c>
    </row>
    <row r="5" spans="1:11" x14ac:dyDescent="0.35">
      <c r="A5" s="81" t="s">
        <v>206</v>
      </c>
      <c r="B5" s="82">
        <f>'Ann 5'!C17</f>
        <v>710000</v>
      </c>
      <c r="C5" s="82">
        <v>0</v>
      </c>
      <c r="D5" s="82">
        <v>0</v>
      </c>
      <c r="E5" s="82">
        <v>0</v>
      </c>
      <c r="F5" s="82">
        <v>0</v>
      </c>
      <c r="G5" s="82">
        <v>0</v>
      </c>
      <c r="H5" s="82">
        <v>0</v>
      </c>
      <c r="I5" s="82">
        <v>0</v>
      </c>
      <c r="J5" s="82">
        <v>0</v>
      </c>
      <c r="K5" s="82">
        <v>0</v>
      </c>
    </row>
    <row r="6" spans="1:11" x14ac:dyDescent="0.35">
      <c r="A6" s="81" t="s">
        <v>207</v>
      </c>
      <c r="B6" s="82">
        <f>'Ann 2'!C6*100000</f>
        <v>5854000</v>
      </c>
      <c r="C6" s="82">
        <v>0</v>
      </c>
      <c r="D6" s="82">
        <v>0</v>
      </c>
      <c r="E6" s="82">
        <v>0</v>
      </c>
      <c r="F6" s="82">
        <v>0</v>
      </c>
      <c r="G6" s="82">
        <v>0</v>
      </c>
      <c r="H6" s="82">
        <v>0</v>
      </c>
      <c r="I6" s="82">
        <v>0</v>
      </c>
      <c r="J6" s="82">
        <v>0</v>
      </c>
      <c r="K6" s="82">
        <v>0</v>
      </c>
    </row>
    <row r="7" spans="1:11" x14ac:dyDescent="0.35">
      <c r="A7" s="81" t="s">
        <v>208</v>
      </c>
      <c r="B7" s="82">
        <f>'Ann 9'!F6*100000</f>
        <v>6564000</v>
      </c>
      <c r="C7" s="82">
        <v>0</v>
      </c>
      <c r="D7" s="82">
        <v>0</v>
      </c>
      <c r="E7" s="82">
        <v>0</v>
      </c>
      <c r="F7" s="82">
        <v>0</v>
      </c>
      <c r="G7" s="82">
        <v>0</v>
      </c>
      <c r="H7" s="82">
        <v>0</v>
      </c>
      <c r="I7" s="82">
        <v>0</v>
      </c>
      <c r="J7" s="82">
        <v>0</v>
      </c>
      <c r="K7" s="82">
        <v>0</v>
      </c>
    </row>
    <row r="8" spans="1:11" x14ac:dyDescent="0.35">
      <c r="A8" s="81" t="s">
        <v>165</v>
      </c>
      <c r="B8" s="82"/>
      <c r="C8" s="82">
        <f>'Ann 4'!C16-'Ann 5'!C12</f>
        <v>8028327.2727272725</v>
      </c>
      <c r="D8" s="82">
        <f>'Ann 4'!D16-'Ann 5'!D12</f>
        <v>9311284.4318181816</v>
      </c>
      <c r="E8" s="82">
        <f>'Ann 4'!E16-'Ann 5'!E12</f>
        <v>9859007.0454545449</v>
      </c>
      <c r="F8" s="82">
        <f>'Ann 4'!F16-'Ann 5'!F12</f>
        <v>10406729.659090908</v>
      </c>
      <c r="G8" s="82">
        <f>'Ann 4'!G16-'Ann 5'!G12</f>
        <v>10954452.272727273</v>
      </c>
      <c r="H8" s="82">
        <f>'Ann 4'!H16-'Ann 5'!H12</f>
        <v>10954452.272727273</v>
      </c>
      <c r="I8" s="82">
        <f>'Ann 4'!I16-'Ann 5'!I12</f>
        <v>10954452.272727273</v>
      </c>
      <c r="J8" s="82">
        <f>'Ann 4'!J16-'Ann 5'!J12</f>
        <v>10954452.272727273</v>
      </c>
      <c r="K8" s="82">
        <f>'Ann 4'!K16-'Ann 5'!K12</f>
        <v>10954452.272727273</v>
      </c>
    </row>
    <row r="9" spans="1:11" x14ac:dyDescent="0.35">
      <c r="A9" s="81" t="s">
        <v>183</v>
      </c>
      <c r="B9" s="82">
        <v>0</v>
      </c>
      <c r="C9" s="82">
        <v>0</v>
      </c>
      <c r="D9" s="82">
        <f>'Ann 5'!C23</f>
        <v>935705.45454545459</v>
      </c>
      <c r="E9" s="82">
        <f>'Ann 5'!D23</f>
        <v>1073302.2613636365</v>
      </c>
      <c r="F9" s="82">
        <f>'Ann 5'!E23</f>
        <v>1138026.69</v>
      </c>
      <c r="G9" s="82">
        <f>'Ann 5'!F23</f>
        <v>1203447.7703454546</v>
      </c>
      <c r="H9" s="82">
        <f>'Ann 5'!G23</f>
        <v>1269614.2680196364</v>
      </c>
      <c r="I9" s="82">
        <f>'Ann 5'!H23</f>
        <v>1281806.1008719201</v>
      </c>
      <c r="J9" s="82">
        <f>'Ann 5'!I23</f>
        <v>1294851.3620238637</v>
      </c>
      <c r="K9" s="82">
        <f>'Ann 5'!J23</f>
        <v>1308809.7914564433</v>
      </c>
    </row>
    <row r="10" spans="1:11" x14ac:dyDescent="0.35">
      <c r="A10" s="81" t="s">
        <v>184</v>
      </c>
      <c r="B10" s="82">
        <v>0</v>
      </c>
      <c r="C10" s="82">
        <v>0</v>
      </c>
      <c r="D10" s="82">
        <f>'Ann 5'!C12</f>
        <v>802832.72727272729</v>
      </c>
      <c r="E10" s="82">
        <f>'Ann 5'!D12</f>
        <v>931128.44318181823</v>
      </c>
      <c r="F10" s="82">
        <f>'Ann 5'!E12</f>
        <v>985900.70454545459</v>
      </c>
      <c r="G10" s="82">
        <f>'Ann 5'!F12</f>
        <v>1040672.9659090909</v>
      </c>
      <c r="H10" s="82">
        <f>'Ann 5'!G12</f>
        <v>1095445.2272727273</v>
      </c>
      <c r="I10" s="82">
        <f>'Ann 5'!H12</f>
        <v>1095445.2272727273</v>
      </c>
      <c r="J10" s="82">
        <f>'Ann 5'!I12</f>
        <v>1095445.2272727273</v>
      </c>
      <c r="K10" s="82">
        <f>'Ann 5'!J12</f>
        <v>1095445.2272727273</v>
      </c>
    </row>
    <row r="11" spans="1:11" x14ac:dyDescent="0.35">
      <c r="A11" s="81" t="s">
        <v>185</v>
      </c>
      <c r="B11" s="82">
        <v>0</v>
      </c>
      <c r="C11" s="82">
        <f>'Ann 4'!C9+'Ann 4'!C13-'Ann 5'!C23</f>
        <v>4419674.5454545449</v>
      </c>
      <c r="D11" s="82">
        <f>'Ann 4'!D9+'Ann 4'!D13-'Ann 5'!D23</f>
        <v>5048310.1761363633</v>
      </c>
      <c r="E11" s="82">
        <f>'Ann 4'!E9+'Ann 4'!E13-'Ann 5'!E23</f>
        <v>5349492.6050000004</v>
      </c>
      <c r="F11" s="82">
        <f>'Ann 4'!F9+'Ann 4'!F13-'Ann 5'!F23</f>
        <v>5654306.0915545449</v>
      </c>
      <c r="G11" s="82">
        <f>'Ann 4'!G9+'Ann 4'!G13-'Ann 5'!G23</f>
        <v>5962994.8873383645</v>
      </c>
      <c r="H11" s="82">
        <f>'Ann 4'!H9+'Ann 4'!H13-'Ann 5'!H23</f>
        <v>6017858.1351736411</v>
      </c>
      <c r="I11" s="82">
        <f>'Ann 4'!I9+'Ann 4'!I13-'Ann 5'!I23</f>
        <v>6076561.8103573862</v>
      </c>
      <c r="J11" s="82">
        <f>'Ann 4'!J9+'Ann 4'!J13-'Ann 5'!J23</f>
        <v>6139374.7428039946</v>
      </c>
      <c r="K11" s="82">
        <f>'Ann 4'!K9+'Ann 4'!K13-'Ann 5'!K23</f>
        <v>6206584.5805218648</v>
      </c>
    </row>
    <row r="12" spans="1:11" x14ac:dyDescent="0.35">
      <c r="A12" s="81" t="s">
        <v>255</v>
      </c>
      <c r="B12" s="82">
        <f>'Ann 1'!C27*100000</f>
        <v>0</v>
      </c>
      <c r="C12" s="82"/>
      <c r="D12" s="82"/>
      <c r="E12" s="82"/>
      <c r="F12" s="82"/>
      <c r="G12" s="82"/>
      <c r="H12" s="82"/>
      <c r="I12" s="82"/>
      <c r="J12" s="82"/>
      <c r="K12" s="82"/>
    </row>
    <row r="13" spans="1:11" x14ac:dyDescent="0.35">
      <c r="A13" s="81" t="s">
        <v>166</v>
      </c>
      <c r="B13" s="82">
        <v>0</v>
      </c>
      <c r="C13" s="82">
        <f>'Ann 4'!C22</f>
        <v>401462.75</v>
      </c>
      <c r="D13" s="82">
        <f>'Ann 4'!D22</f>
        <v>357558.5</v>
      </c>
      <c r="E13" s="82">
        <f>'Ann 4'!E22</f>
        <v>303522.5</v>
      </c>
      <c r="F13" s="82">
        <f>'Ann 4'!F22</f>
        <v>249486.49999999997</v>
      </c>
      <c r="G13" s="82">
        <f>'Ann 4'!G22</f>
        <v>195450.5</v>
      </c>
      <c r="H13" s="82">
        <f>'Ann 4'!H22</f>
        <v>80619.5</v>
      </c>
      <c r="I13" s="82">
        <f>'Ann 4'!I22</f>
        <v>53600</v>
      </c>
      <c r="J13" s="82">
        <f>'Ann 4'!J22</f>
        <v>53600</v>
      </c>
      <c r="K13" s="82">
        <f>'Ann 4'!K22</f>
        <v>53600</v>
      </c>
    </row>
    <row r="14" spans="1:11" x14ac:dyDescent="0.35">
      <c r="A14" s="81"/>
      <c r="B14" s="82">
        <v>0</v>
      </c>
      <c r="C14" s="82">
        <f>C4+C8-C9+C10-C11-C13+C5+C6-C7</f>
        <v>3743189.9772727285</v>
      </c>
      <c r="D14" s="82">
        <f>D4+D8-D9+D10-D11-D13+D5+D6-D7</f>
        <v>5629539.293181818</v>
      </c>
      <c r="E14" s="82">
        <f>E4+E8-E9+E10-E11-E13+E5+E6-E7</f>
        <v>6832458.5310795438</v>
      </c>
      <c r="F14" s="82">
        <f t="shared" ref="F14:K14" si="1">F4+F8-F9+F10-F11-F13+F5+F6-F7</f>
        <v>8067575.8361613639</v>
      </c>
      <c r="G14" s="82">
        <f t="shared" si="1"/>
        <v>9342317.4532864094</v>
      </c>
      <c r="H14" s="82">
        <f t="shared" si="1"/>
        <v>10433716.606935205</v>
      </c>
      <c r="I14" s="82">
        <f t="shared" si="1"/>
        <v>11394917.041390983</v>
      </c>
      <c r="J14" s="82">
        <f t="shared" si="1"/>
        <v>13186866.320825584</v>
      </c>
      <c r="K14" s="82">
        <f t="shared" si="1"/>
        <v>14916263.600166762</v>
      </c>
    </row>
    <row r="15" spans="1:11" x14ac:dyDescent="0.35">
      <c r="A15" s="81" t="s">
        <v>187</v>
      </c>
      <c r="B15" s="82">
        <v>0</v>
      </c>
      <c r="C15" s="82">
        <f>'Ann 4'!C29</f>
        <v>662720.17499999993</v>
      </c>
      <c r="D15" s="82">
        <f>'Ann 4'!D29</f>
        <v>904753.33124999993</v>
      </c>
      <c r="E15" s="82">
        <f>'Ann 4'!E29</f>
        <v>1022350.9739999999</v>
      </c>
      <c r="F15" s="82">
        <f>'Ann 4'!F29</f>
        <v>1134410.983305</v>
      </c>
      <c r="G15" s="82">
        <f>'Ann 4'!G29</f>
        <v>1241449.1276113498</v>
      </c>
      <c r="H15" s="82">
        <f>'Ann 4'!H29</f>
        <v>1275198.0712222692</v>
      </c>
      <c r="I15" s="82">
        <f>'Ann 4'!I29</f>
        <v>1278517.899571172</v>
      </c>
      <c r="J15" s="82">
        <f>'Ann 4'!J29</f>
        <v>1269925.7763140835</v>
      </c>
      <c r="K15" s="82">
        <f>'Ann 4'!K29</f>
        <v>1257745.8441115823</v>
      </c>
    </row>
    <row r="16" spans="1:11" x14ac:dyDescent="0.35">
      <c r="A16" s="81"/>
      <c r="B16" s="82">
        <v>0</v>
      </c>
      <c r="C16" s="82">
        <f>C14-C15</f>
        <v>3080469.8022727286</v>
      </c>
      <c r="D16" s="82">
        <f t="shared" ref="D16:K16" si="2">D14-D15</f>
        <v>4724785.9619318182</v>
      </c>
      <c r="E16" s="82">
        <f t="shared" si="2"/>
        <v>5810107.5570795443</v>
      </c>
      <c r="F16" s="82">
        <f t="shared" si="2"/>
        <v>6933164.8528563641</v>
      </c>
      <c r="G16" s="82">
        <f t="shared" si="2"/>
        <v>8100868.3256750591</v>
      </c>
      <c r="H16" s="82">
        <f t="shared" si="2"/>
        <v>9158518.535712935</v>
      </c>
      <c r="I16" s="82">
        <f t="shared" si="2"/>
        <v>10116399.141819812</v>
      </c>
      <c r="J16" s="82">
        <f t="shared" si="2"/>
        <v>11916940.544511501</v>
      </c>
      <c r="K16" s="82">
        <f t="shared" si="2"/>
        <v>13658517.75605518</v>
      </c>
    </row>
    <row r="17" spans="1:12" x14ac:dyDescent="0.35">
      <c r="A17" s="81" t="s">
        <v>186</v>
      </c>
      <c r="B17" s="82">
        <v>0</v>
      </c>
      <c r="C17" s="82">
        <f>'Ann 4'!C31</f>
        <v>773173.53750000009</v>
      </c>
      <c r="D17" s="82">
        <f>'Ann 4'!D31</f>
        <v>1055545.5531250001</v>
      </c>
      <c r="E17" s="82">
        <f>'Ann 4'!E31</f>
        <v>1192742.8030000001</v>
      </c>
      <c r="F17" s="82">
        <f>'Ann 4'!F31</f>
        <v>1323479.4805224999</v>
      </c>
      <c r="G17" s="82">
        <f>'Ann 4'!G31</f>
        <v>1448357.3155465748</v>
      </c>
      <c r="H17" s="82">
        <f>'Ann 4'!H31</f>
        <v>2375231.0830926471</v>
      </c>
      <c r="I17" s="82">
        <f>'Ann 4'!I31</f>
        <v>1491604.2161663673</v>
      </c>
      <c r="J17" s="82">
        <f>'Ann 4'!J31</f>
        <v>1481580.0723664309</v>
      </c>
      <c r="K17" s="82">
        <f>'Ann 4'!K31</f>
        <v>1467370.1514635126</v>
      </c>
    </row>
    <row r="18" spans="1:12" x14ac:dyDescent="0.35">
      <c r="A18" s="81"/>
      <c r="B18" s="82">
        <v>0</v>
      </c>
      <c r="C18" s="82">
        <f>C16-C17</f>
        <v>2307296.2647727286</v>
      </c>
      <c r="D18" s="82">
        <f t="shared" ref="D18:K18" si="3">D16-D17</f>
        <v>3669240.4088068181</v>
      </c>
      <c r="E18" s="82">
        <f t="shared" si="3"/>
        <v>4617364.754079544</v>
      </c>
      <c r="F18" s="82">
        <f t="shared" si="3"/>
        <v>5609685.3723338638</v>
      </c>
      <c r="G18" s="82">
        <f t="shared" si="3"/>
        <v>6652511.0101284841</v>
      </c>
      <c r="H18" s="82">
        <f t="shared" si="3"/>
        <v>6783287.4526202884</v>
      </c>
      <c r="I18" s="82">
        <f t="shared" si="3"/>
        <v>8624794.9256534446</v>
      </c>
      <c r="J18" s="82">
        <f t="shared" si="3"/>
        <v>10435360.472145069</v>
      </c>
      <c r="K18" s="82">
        <f t="shared" si="3"/>
        <v>12191147.604591668</v>
      </c>
    </row>
    <row r="19" spans="1:12" x14ac:dyDescent="0.35">
      <c r="A19" s="81" t="s">
        <v>188</v>
      </c>
      <c r="B19" s="82">
        <v>0</v>
      </c>
      <c r="C19" s="82">
        <f>SUM('Ann 13'!D10:D13)*100000</f>
        <v>450300</v>
      </c>
      <c r="D19" s="82">
        <f>SUM('Ann 13'!D14:D17)*100000</f>
        <v>900600</v>
      </c>
      <c r="E19" s="82">
        <f>SUM('Ann 13'!D18:D21)*100000</f>
        <v>900600</v>
      </c>
      <c r="F19" s="82">
        <f>SUM('Ann 13'!D22:D25)*100000</f>
        <v>900600</v>
      </c>
      <c r="G19" s="82">
        <f>SUM('Ann 13'!D26:D29)*100000</f>
        <v>900600</v>
      </c>
      <c r="H19" s="82">
        <f>SUM('Ann 13'!D30:D33)*100000</f>
        <v>26300</v>
      </c>
      <c r="I19" s="82">
        <f>SUM('Ann 13'!D34:D37)*100000</f>
        <v>0</v>
      </c>
      <c r="J19" s="82">
        <v>0</v>
      </c>
      <c r="K19" s="82">
        <v>0</v>
      </c>
    </row>
    <row r="20" spans="1:12" x14ac:dyDescent="0.35">
      <c r="A20" s="81" t="s">
        <v>189</v>
      </c>
      <c r="B20" s="82">
        <f>B4+B5+B6-B7-B12</f>
        <v>536000</v>
      </c>
      <c r="C20" s="82">
        <f>C18-C19</f>
        <v>1856996.2647727286</v>
      </c>
      <c r="D20" s="82">
        <f>D18-D19</f>
        <v>2768640.4088068181</v>
      </c>
      <c r="E20" s="82">
        <f>E18-E19</f>
        <v>3716764.754079544</v>
      </c>
      <c r="F20" s="82">
        <f t="shared" ref="F20:K20" si="4">F18-F19</f>
        <v>4709085.3723338638</v>
      </c>
      <c r="G20" s="82">
        <f t="shared" si="4"/>
        <v>5751911.0101284841</v>
      </c>
      <c r="H20" s="82">
        <f t="shared" si="4"/>
        <v>6756987.4526202884</v>
      </c>
      <c r="I20" s="82">
        <f t="shared" si="4"/>
        <v>8624794.9256534446</v>
      </c>
      <c r="J20" s="82">
        <f t="shared" si="4"/>
        <v>10435360.472145069</v>
      </c>
      <c r="K20" s="82">
        <f t="shared" si="4"/>
        <v>12191147.604591668</v>
      </c>
    </row>
    <row r="22" spans="1:12" x14ac:dyDescent="0.35">
      <c r="A22" s="115" t="s">
        <v>190</v>
      </c>
      <c r="B22" s="116">
        <v>0.06</v>
      </c>
      <c r="C22" s="117"/>
      <c r="D22" s="115"/>
      <c r="E22" s="115"/>
      <c r="F22" s="115"/>
      <c r="G22" s="115"/>
      <c r="H22" s="115"/>
      <c r="I22" s="115"/>
      <c r="J22" s="115"/>
      <c r="K22" s="115"/>
      <c r="L22" s="115"/>
    </row>
    <row r="23" spans="1:12" x14ac:dyDescent="0.35">
      <c r="A23" s="115" t="s">
        <v>191</v>
      </c>
      <c r="B23" s="115">
        <v>1</v>
      </c>
      <c r="C23" s="118">
        <f>1/(1+$B$22)</f>
        <v>0.94339622641509424</v>
      </c>
      <c r="D23" s="118">
        <f>1/((1+$B$22)*(1+$B$22))</f>
        <v>0.88999644001423983</v>
      </c>
      <c r="E23" s="118">
        <f>1/((1+$B$22)*(1+$B$22)*(1+$B$22))</f>
        <v>0.8396192830323016</v>
      </c>
      <c r="F23" s="118">
        <f>1/((1+$B$22)*(1+$B$22)*(1+$B$22)*(1+$B$22))</f>
        <v>0.79209366323802044</v>
      </c>
      <c r="G23" s="118">
        <f>1/((1+$B$22)*(1+$B$22)*(1+$B$22)*(1+$B$22)*(1+$B$22))</f>
        <v>0.74725817286605689</v>
      </c>
      <c r="H23" s="118">
        <f>1/((1+$B$22)*(1+$B$22)*(1+$B$22)*(1+$B$22)*(1+$B$22)*(1+$B$22))</f>
        <v>0.70496054043967626</v>
      </c>
      <c r="I23" s="118">
        <f>1/((1+$B$22)*(1+$B$22)*(1+$B$22)*(1+$B$22)*(1+$B$22)*(1+$B$22)*(1+$B$22))</f>
        <v>0.6650571136223361</v>
      </c>
      <c r="J23" s="118">
        <f>1/((1+$B$22)*(1+$B$22)*(1+$B$22)*(1+$B$22)*(1+$B$22)*(1+$B$22)*(1+$B$22)*(1+$B$22))</f>
        <v>0.62741237134182648</v>
      </c>
      <c r="K23" s="118">
        <f>1/((1+$B$22)*(1+$B$22)*(1+$B$22)*(1+$B$22)*(1+$B$22)*(1+$B$22)*(1+$B$22)*(1+$B$22)*(1+$B$22))</f>
        <v>0.59189846353002495</v>
      </c>
      <c r="L23" s="115"/>
    </row>
    <row r="24" spans="1:12" x14ac:dyDescent="0.35">
      <c r="A24" s="115" t="s">
        <v>192</v>
      </c>
      <c r="B24" s="115">
        <f>B4+B8+B10+B5+B6</f>
        <v>7100000</v>
      </c>
      <c r="C24" s="115">
        <f>C4+C8+C10+C5+C6</f>
        <v>8564327.2727272734</v>
      </c>
      <c r="D24" s="115">
        <f t="shared" ref="D24:K24" si="5">D4+D8+D10</f>
        <v>11971113.423863636</v>
      </c>
      <c r="E24" s="115">
        <f t="shared" si="5"/>
        <v>13558775.897443181</v>
      </c>
      <c r="F24" s="115">
        <f t="shared" si="5"/>
        <v>15109395.117715908</v>
      </c>
      <c r="G24" s="115">
        <f t="shared" si="5"/>
        <v>16704210.610970229</v>
      </c>
      <c r="H24" s="115">
        <f t="shared" si="5"/>
        <v>17801808.510128483</v>
      </c>
      <c r="I24" s="115">
        <f t="shared" si="5"/>
        <v>18806884.95262029</v>
      </c>
      <c r="J24" s="115">
        <f t="shared" si="5"/>
        <v>20674692.425653443</v>
      </c>
      <c r="K24" s="115">
        <f t="shared" si="5"/>
        <v>22485257.972145069</v>
      </c>
      <c r="L24" s="115"/>
    </row>
    <row r="25" spans="1:12" x14ac:dyDescent="0.35">
      <c r="A25" s="115" t="s">
        <v>193</v>
      </c>
      <c r="B25" s="115">
        <f>B24*B23</f>
        <v>7100000</v>
      </c>
      <c r="C25" s="115">
        <f>C24*C23</f>
        <v>8079554.030874785</v>
      </c>
      <c r="D25" s="115">
        <f t="shared" ref="D25:K25" si="6">D24*D23</f>
        <v>10654248.330245314</v>
      </c>
      <c r="E25" s="115">
        <f t="shared" si="6"/>
        <v>11384209.697806895</v>
      </c>
      <c r="F25" s="115">
        <f t="shared" si="6"/>
        <v>11968056.128102254</v>
      </c>
      <c r="G25" s="115">
        <f t="shared" si="6"/>
        <v>12482357.900323413</v>
      </c>
      <c r="H25" s="115">
        <f t="shared" si="6"/>
        <v>12549572.548103804</v>
      </c>
      <c r="I25" s="115">
        <f t="shared" si="6"/>
        <v>12507652.622816995</v>
      </c>
      <c r="J25" s="115">
        <f t="shared" si="6"/>
        <v>12971557.801542126</v>
      </c>
      <c r="K25" s="115">
        <f t="shared" si="6"/>
        <v>13308989.645788912</v>
      </c>
      <c r="L25" s="115"/>
    </row>
    <row r="26" spans="1:12" x14ac:dyDescent="0.35">
      <c r="A26" s="115" t="s">
        <v>194</v>
      </c>
      <c r="B26" s="115">
        <f>B9+B11+B13+B15+B17+B19+B7+B12</f>
        <v>6564000</v>
      </c>
      <c r="C26" s="115">
        <f t="shared" ref="C26:K26" si="7">C9+C11+C13+C15+C17+C19+C7+C12</f>
        <v>6707331.0079545453</v>
      </c>
      <c r="D26" s="115">
        <f t="shared" si="7"/>
        <v>9202473.0150568187</v>
      </c>
      <c r="E26" s="115">
        <f t="shared" si="7"/>
        <v>9842011.143363636</v>
      </c>
      <c r="F26" s="115">
        <f t="shared" si="7"/>
        <v>10400309.745382044</v>
      </c>
      <c r="G26" s="115">
        <f t="shared" si="7"/>
        <v>10952299.600841744</v>
      </c>
      <c r="H26" s="115">
        <f t="shared" si="7"/>
        <v>11044821.057508193</v>
      </c>
      <c r="I26" s="115">
        <f t="shared" si="7"/>
        <v>10182090.026966846</v>
      </c>
      <c r="J26" s="115">
        <f t="shared" si="7"/>
        <v>10239331.953508373</v>
      </c>
      <c r="K26" s="115">
        <f t="shared" si="7"/>
        <v>10294110.367553402</v>
      </c>
      <c r="L26" s="115"/>
    </row>
    <row r="27" spans="1:12" x14ac:dyDescent="0.35">
      <c r="A27" s="115" t="s">
        <v>195</v>
      </c>
      <c r="B27" s="115">
        <f>B26*B23</f>
        <v>6564000</v>
      </c>
      <c r="C27" s="115">
        <f>C26*C23</f>
        <v>6327670.7622212684</v>
      </c>
      <c r="D27" s="115">
        <f t="shared" ref="D27:K27" si="8">D26*D23</f>
        <v>8190168.2227276769</v>
      </c>
      <c r="E27" s="115">
        <f t="shared" si="8"/>
        <v>8263542.3397868993</v>
      </c>
      <c r="F27" s="115">
        <f t="shared" si="8"/>
        <v>8238019.4450297477</v>
      </c>
      <c r="G27" s="115">
        <f t="shared" si="8"/>
        <v>8184195.3884066455</v>
      </c>
      <c r="H27" s="115">
        <f t="shared" si="8"/>
        <v>7786163.0217604926</v>
      </c>
      <c r="I27" s="115">
        <f t="shared" si="8"/>
        <v>6771671.4039773447</v>
      </c>
      <c r="J27" s="115">
        <f t="shared" si="8"/>
        <v>6424283.5419068253</v>
      </c>
      <c r="K27" s="115">
        <f t="shared" si="8"/>
        <v>6093068.1099633593</v>
      </c>
      <c r="L27" s="115"/>
    </row>
    <row r="28" spans="1:12" x14ac:dyDescent="0.35">
      <c r="A28" s="115"/>
      <c r="B28" s="115"/>
      <c r="C28" s="115"/>
      <c r="D28" s="115"/>
      <c r="E28" s="115"/>
      <c r="F28" s="115"/>
      <c r="G28" s="115"/>
      <c r="H28" s="115"/>
      <c r="I28" s="115"/>
      <c r="J28" s="115"/>
      <c r="K28" s="115"/>
      <c r="L28" s="115"/>
    </row>
    <row r="29" spans="1:12" x14ac:dyDescent="0.35">
      <c r="A29" s="115" t="s">
        <v>196</v>
      </c>
      <c r="B29" s="115">
        <f>B24-B26</f>
        <v>536000</v>
      </c>
      <c r="C29" s="115">
        <f>C24-C26</f>
        <v>1856996.2647727281</v>
      </c>
      <c r="D29" s="115">
        <f>D24-D26</f>
        <v>2768640.4088068176</v>
      </c>
      <c r="E29" s="115">
        <f t="shared" ref="E29:K29" si="9">E24-E26</f>
        <v>3716764.7540795449</v>
      </c>
      <c r="F29" s="115">
        <f t="shared" si="9"/>
        <v>4709085.3723338638</v>
      </c>
      <c r="G29" s="115">
        <f t="shared" si="9"/>
        <v>5751911.010128485</v>
      </c>
      <c r="H29" s="115">
        <f t="shared" si="9"/>
        <v>6756987.4526202902</v>
      </c>
      <c r="I29" s="115">
        <f t="shared" si="9"/>
        <v>8624794.9256534446</v>
      </c>
      <c r="J29" s="115">
        <f t="shared" si="9"/>
        <v>10435360.472145069</v>
      </c>
      <c r="K29" s="115">
        <f t="shared" si="9"/>
        <v>12191147.604591668</v>
      </c>
      <c r="L29" s="115"/>
    </row>
    <row r="30" spans="1:12" x14ac:dyDescent="0.35">
      <c r="A30" s="115" t="s">
        <v>197</v>
      </c>
      <c r="B30" s="115">
        <f>B25-B27</f>
        <v>536000</v>
      </c>
      <c r="C30" s="115">
        <f>C29*C23</f>
        <v>1751883.2686535169</v>
      </c>
      <c r="D30" s="115">
        <f t="shared" ref="D30:K30" si="10">D29*D23</f>
        <v>2464080.1075176373</v>
      </c>
      <c r="E30" s="115">
        <f t="shared" si="10"/>
        <v>3120667.3580199964</v>
      </c>
      <c r="F30" s="115">
        <f t="shared" si="10"/>
        <v>3730036.6830725074</v>
      </c>
      <c r="G30" s="115">
        <f t="shared" si="10"/>
        <v>4298162.5119167678</v>
      </c>
      <c r="H30" s="115">
        <f t="shared" si="10"/>
        <v>4763409.5263433112</v>
      </c>
      <c r="I30" s="115">
        <f t="shared" si="10"/>
        <v>5735981.218839651</v>
      </c>
      <c r="J30" s="115">
        <f t="shared" si="10"/>
        <v>6547274.2596353004</v>
      </c>
      <c r="K30" s="115">
        <f t="shared" si="10"/>
        <v>7215921.5358255524</v>
      </c>
      <c r="L30" s="115">
        <f>SUM(B30:K30)</f>
        <v>40163416.46982424</v>
      </c>
    </row>
    <row r="31" spans="1:12" x14ac:dyDescent="0.35">
      <c r="C31" s="83"/>
      <c r="D31" s="83"/>
      <c r="E31" s="83"/>
      <c r="F31" s="83"/>
      <c r="G31" s="83"/>
    </row>
  </sheetData>
  <pageMargins left="0.7" right="0.7" top="0.75" bottom="0.75" header="0.3" footer="0.3"/>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H8"/>
    </sheetView>
  </sheetViews>
  <sheetFormatPr defaultRowHeight="14.5" x14ac:dyDescent="0.35"/>
  <cols>
    <col min="1" max="1" width="16.453125" bestFit="1" customWidth="1"/>
  </cols>
  <sheetData>
    <row r="2" spans="1:10" x14ac:dyDescent="0.35">
      <c r="B2" t="s">
        <v>39</v>
      </c>
      <c r="C2" t="s">
        <v>40</v>
      </c>
      <c r="D2" t="s">
        <v>41</v>
      </c>
      <c r="E2" t="s">
        <v>42</v>
      </c>
      <c r="F2" t="s">
        <v>43</v>
      </c>
      <c r="G2" t="s">
        <v>44</v>
      </c>
      <c r="H2" t="s">
        <v>45</v>
      </c>
      <c r="I2" t="s">
        <v>46</v>
      </c>
      <c r="J2" t="s">
        <v>47</v>
      </c>
    </row>
    <row r="3" spans="1:10" x14ac:dyDescent="0.35">
      <c r="A3" t="s">
        <v>198</v>
      </c>
      <c r="B3" s="2">
        <f>'Ann 4'!C16/100000</f>
        <v>88.311599999999999</v>
      </c>
      <c r="C3" s="2">
        <f>'Ann 4'!D16/100000</f>
        <v>102.42412874999999</v>
      </c>
      <c r="D3" s="2">
        <f>'Ann 4'!E16/100000</f>
        <v>108.4490775</v>
      </c>
      <c r="E3" s="2">
        <f>'Ann 4'!F16/100000</f>
        <v>114.47402624999999</v>
      </c>
      <c r="F3" s="2">
        <f>'Ann 4'!G16/100000</f>
        <v>120.498975</v>
      </c>
      <c r="G3" s="2">
        <f>'Ann 4'!H16/100000</f>
        <v>120.498975</v>
      </c>
      <c r="H3" s="2">
        <f>'Ann 4'!I16/100000</f>
        <v>120.498975</v>
      </c>
      <c r="I3" s="2">
        <f>'Ann 4'!J16/100000</f>
        <v>120.498975</v>
      </c>
      <c r="J3" s="2">
        <f>'Ann 4'!K16/100000</f>
        <v>120.498975</v>
      </c>
    </row>
    <row r="4" spans="1:10" x14ac:dyDescent="0.35">
      <c r="A4" t="s">
        <v>199</v>
      </c>
      <c r="B4" s="2">
        <f>'Ann 4'!C15/100000</f>
        <v>53.553800000000003</v>
      </c>
      <c r="C4" s="2">
        <f>'Ann 4'!D15/100000</f>
        <v>61.216124375</v>
      </c>
      <c r="D4" s="2">
        <f>'Ann 4'!E15/100000</f>
        <v>64.875192949999999</v>
      </c>
      <c r="E4" s="2">
        <f>'Ann 4'!F15/100000</f>
        <v>68.577538618999995</v>
      </c>
      <c r="F4" s="2">
        <f>'Ann 4'!G15/100000</f>
        <v>72.32609155358</v>
      </c>
      <c r="G4" s="2">
        <f>'Ann 4'!H15/100000</f>
        <v>72.99664236045561</v>
      </c>
      <c r="H4" s="2">
        <f>'Ann 4'!I15/100000</f>
        <v>73.7141317238125</v>
      </c>
      <c r="I4" s="2">
        <f>'Ann 4'!J15/100000</f>
        <v>74.481845342604373</v>
      </c>
      <c r="J4" s="2">
        <f>'Ann 4'!K15/100000</f>
        <v>75.303298914711675</v>
      </c>
    </row>
    <row r="5" spans="1:10" x14ac:dyDescent="0.35">
      <c r="A5" t="s">
        <v>200</v>
      </c>
      <c r="B5" s="2">
        <f>B3-B4</f>
        <v>34.757799999999996</v>
      </c>
      <c r="C5" s="2">
        <f t="shared" ref="C5:J5" si="0">C3-C4</f>
        <v>41.208004374999994</v>
      </c>
      <c r="D5" s="2">
        <f t="shared" si="0"/>
        <v>43.573884550000002</v>
      </c>
      <c r="E5" s="2">
        <f t="shared" si="0"/>
        <v>45.896487630999999</v>
      </c>
      <c r="F5" s="2">
        <f t="shared" si="0"/>
        <v>48.172883446420002</v>
      </c>
      <c r="G5" s="2">
        <f t="shared" si="0"/>
        <v>47.502332639544392</v>
      </c>
      <c r="H5" s="2">
        <f t="shared" si="0"/>
        <v>46.784843276187502</v>
      </c>
      <c r="I5" s="2">
        <f t="shared" si="0"/>
        <v>46.017129657395628</v>
      </c>
      <c r="J5" s="2">
        <f t="shared" si="0"/>
        <v>45.195676085288326</v>
      </c>
    </row>
    <row r="6" spans="1:10" x14ac:dyDescent="0.35">
      <c r="A6" t="s">
        <v>201</v>
      </c>
      <c r="B6" s="2">
        <f>B5</f>
        <v>34.757799999999996</v>
      </c>
      <c r="C6" s="2">
        <f t="shared" ref="C6:J6" si="1">C5</f>
        <v>41.208004374999994</v>
      </c>
      <c r="D6" s="2">
        <f t="shared" si="1"/>
        <v>43.573884550000002</v>
      </c>
      <c r="E6" s="2">
        <f t="shared" si="1"/>
        <v>45.896487630999999</v>
      </c>
      <c r="F6" s="2">
        <f t="shared" si="1"/>
        <v>48.172883446420002</v>
      </c>
      <c r="G6" s="2">
        <f t="shared" si="1"/>
        <v>47.502332639544392</v>
      </c>
      <c r="H6" s="2">
        <f t="shared" si="1"/>
        <v>46.784843276187502</v>
      </c>
      <c r="I6" s="2">
        <f t="shared" si="1"/>
        <v>46.017129657395628</v>
      </c>
      <c r="J6" s="2">
        <f t="shared" si="1"/>
        <v>45.195676085288326</v>
      </c>
    </row>
    <row r="7" spans="1:10" x14ac:dyDescent="0.35">
      <c r="A7" t="s">
        <v>202</v>
      </c>
      <c r="B7" s="76">
        <f>'Ann 4'!C28/100000</f>
        <v>22.0906725</v>
      </c>
      <c r="C7" s="76">
        <f>'Ann 4'!D28/100000</f>
        <v>30.158444374999998</v>
      </c>
      <c r="D7" s="76">
        <f>'Ann 4'!E28/100000</f>
        <v>34.0783658</v>
      </c>
      <c r="E7" s="76">
        <f>'Ann 4'!F28/100000</f>
        <v>37.813699443499999</v>
      </c>
      <c r="F7" s="76">
        <f>'Ann 4'!G28/100000</f>
        <v>41.381637587044992</v>
      </c>
      <c r="G7" s="76">
        <f>'Ann 4'!H28/100000</f>
        <v>60.256602374075634</v>
      </c>
      <c r="H7" s="76">
        <f>'Ann 4'!I28/100000</f>
        <v>42.617263319039068</v>
      </c>
      <c r="I7" s="76">
        <f>'Ann 4'!J28/100000</f>
        <v>42.330859210469455</v>
      </c>
      <c r="J7" s="76">
        <f>'Ann 4'!K28/100000</f>
        <v>41.924861470386077</v>
      </c>
    </row>
    <row r="8" spans="1:10" x14ac:dyDescent="0.35">
      <c r="A8" t="s">
        <v>203</v>
      </c>
      <c r="B8" s="76">
        <f>'Ann 4'!C30/100000</f>
        <v>15.463470750000003</v>
      </c>
      <c r="C8" s="76">
        <f>'Ann 4'!D30/100000</f>
        <v>21.110911062500001</v>
      </c>
      <c r="D8" s="76">
        <f>'Ann 4'!E30/100000</f>
        <v>23.854856060000003</v>
      </c>
      <c r="E8" s="76">
        <f>'Ann 4'!F30/100000</f>
        <v>26.469589610449997</v>
      </c>
      <c r="F8" s="76">
        <f>'Ann 4'!G30/100000</f>
        <v>28.967146310931497</v>
      </c>
      <c r="G8" s="76">
        <f>'Ann 4'!H30/100000</f>
        <v>47.504621661852944</v>
      </c>
      <c r="H8" s="76">
        <f>'Ann 4'!I30/100000</f>
        <v>29.832084323327347</v>
      </c>
      <c r="I8" s="76">
        <f>'Ann 4'!J30/100000</f>
        <v>29.631601447328617</v>
      </c>
      <c r="J8" s="76">
        <f>'Ann 4'!K30/100000</f>
        <v>29.34740302927025</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8"/>
  <sheetViews>
    <sheetView workbookViewId="0">
      <selection activeCell="C5" sqref="C5"/>
    </sheetView>
  </sheetViews>
  <sheetFormatPr defaultRowHeight="14.5" x14ac:dyDescent="0.35"/>
  <cols>
    <col min="2" max="2" width="84" bestFit="1" customWidth="1"/>
    <col min="3" max="3" width="12.36328125" bestFit="1" customWidth="1"/>
    <col min="4" max="12" width="12.54296875" bestFit="1" customWidth="1"/>
  </cols>
  <sheetData>
    <row r="1" spans="1:12" x14ac:dyDescent="0.35">
      <c r="A1" s="22" t="s">
        <v>223</v>
      </c>
      <c r="B1" s="22" t="s">
        <v>224</v>
      </c>
    </row>
    <row r="2" spans="1:12" x14ac:dyDescent="0.35">
      <c r="A2">
        <v>1</v>
      </c>
      <c r="B2" t="s">
        <v>307</v>
      </c>
    </row>
    <row r="3" spans="1:12" x14ac:dyDescent="0.35">
      <c r="A3">
        <v>2</v>
      </c>
      <c r="B3" t="s">
        <v>225</v>
      </c>
    </row>
    <row r="4" spans="1:12" x14ac:dyDescent="0.35">
      <c r="C4" t="s">
        <v>175</v>
      </c>
      <c r="D4">
        <v>21000</v>
      </c>
      <c r="E4">
        <f>D4*1.05</f>
        <v>22050</v>
      </c>
      <c r="F4">
        <f t="shared" ref="F4:H4" si="0">E4*1.05</f>
        <v>23152.5</v>
      </c>
      <c r="G4">
        <f t="shared" si="0"/>
        <v>24310.125</v>
      </c>
      <c r="H4">
        <f t="shared" si="0"/>
        <v>25525.631250000002</v>
      </c>
      <c r="I4">
        <f>H4</f>
        <v>25525.631250000002</v>
      </c>
      <c r="J4">
        <f t="shared" ref="J4:L4" si="1">I4</f>
        <v>25525.631250000002</v>
      </c>
      <c r="K4">
        <f t="shared" si="1"/>
        <v>25525.631250000002</v>
      </c>
      <c r="L4">
        <f t="shared" si="1"/>
        <v>25525.631250000002</v>
      </c>
    </row>
    <row r="5" spans="1:12" x14ac:dyDescent="0.35">
      <c r="C5" t="s">
        <v>73</v>
      </c>
      <c r="D5">
        <f>D4*9</f>
        <v>189000</v>
      </c>
      <c r="E5">
        <f t="shared" ref="E5:L5" si="2">E4*9</f>
        <v>198450</v>
      </c>
      <c r="F5">
        <f t="shared" si="2"/>
        <v>208372.5</v>
      </c>
      <c r="G5">
        <f t="shared" si="2"/>
        <v>218791.125</v>
      </c>
      <c r="H5">
        <f t="shared" si="2"/>
        <v>229730.68125000002</v>
      </c>
      <c r="I5">
        <f t="shared" si="2"/>
        <v>229730.68125000002</v>
      </c>
      <c r="J5">
        <f t="shared" si="2"/>
        <v>229730.68125000002</v>
      </c>
      <c r="K5">
        <f t="shared" si="2"/>
        <v>229730.68125000002</v>
      </c>
      <c r="L5">
        <f t="shared" si="2"/>
        <v>229730.68125000002</v>
      </c>
    </row>
    <row r="6" spans="1:12" x14ac:dyDescent="0.35">
      <c r="A6">
        <v>3</v>
      </c>
      <c r="B6" t="s">
        <v>251</v>
      </c>
    </row>
    <row r="7" spans="1:12" x14ac:dyDescent="0.35">
      <c r="A7">
        <v>4</v>
      </c>
      <c r="B7" t="s">
        <v>259</v>
      </c>
    </row>
    <row r="8" spans="1:12" x14ac:dyDescent="0.35">
      <c r="A8">
        <v>5</v>
      </c>
      <c r="B8" t="s">
        <v>308</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143</v>
      </c>
    </row>
    <row r="2" spans="1:11" x14ac:dyDescent="0.35">
      <c r="C2" t="s">
        <v>39</v>
      </c>
      <c r="D2" t="s">
        <v>40</v>
      </c>
      <c r="E2" t="s">
        <v>41</v>
      </c>
      <c r="F2" t="s">
        <v>42</v>
      </c>
      <c r="G2" t="s">
        <v>43</v>
      </c>
      <c r="H2" t="s">
        <v>44</v>
      </c>
      <c r="I2" t="s">
        <v>45</v>
      </c>
      <c r="J2" t="s">
        <v>46</v>
      </c>
      <c r="K2" t="s">
        <v>47</v>
      </c>
    </row>
    <row r="3" spans="1:11" x14ac:dyDescent="0.35">
      <c r="A3" t="s">
        <v>144</v>
      </c>
      <c r="C3">
        <f>'Ann 4'!C16/300*270</f>
        <v>7948044</v>
      </c>
      <c r="D3">
        <f>'Ann 4'!D16/300*270</f>
        <v>9218171.5875000004</v>
      </c>
      <c r="E3">
        <f>'Ann 4'!E16/300*270</f>
        <v>9760416.9749999996</v>
      </c>
      <c r="F3">
        <f>'Ann 4'!F16/300*270</f>
        <v>10302662.362500001</v>
      </c>
      <c r="G3">
        <f>'Ann 4'!G16/300*270</f>
        <v>10844907.75</v>
      </c>
      <c r="H3">
        <f>'Ann 4'!H16/300*270</f>
        <v>10844907.75</v>
      </c>
      <c r="I3">
        <f>'Ann 4'!I16/300*270</f>
        <v>10844907.75</v>
      </c>
      <c r="J3">
        <f>'Ann 4'!J16/300*270</f>
        <v>10844907.75</v>
      </c>
      <c r="K3">
        <f>'Ann 4'!K16/300*270</f>
        <v>10844907.75</v>
      </c>
    </row>
    <row r="4" spans="1:11" x14ac:dyDescent="0.35">
      <c r="A4" t="s">
        <v>145</v>
      </c>
      <c r="C4">
        <v>5000000</v>
      </c>
    </row>
    <row r="5" spans="1:11" x14ac:dyDescent="0.35">
      <c r="A5" t="s">
        <v>146</v>
      </c>
      <c r="C5">
        <v>21492978</v>
      </c>
    </row>
    <row r="7" spans="1:11" x14ac:dyDescent="0.35">
      <c r="A7" t="s">
        <v>147</v>
      </c>
      <c r="C7">
        <f>'Ann 3'!G18</f>
        <v>6564000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dimension ref="A1:D42"/>
  <sheetViews>
    <sheetView workbookViewId="0">
      <selection activeCell="A2" sqref="A2"/>
    </sheetView>
  </sheetViews>
  <sheetFormatPr defaultRowHeight="14.5" x14ac:dyDescent="0.35"/>
  <cols>
    <col min="2" max="2" width="44.90625" customWidth="1"/>
    <col min="3" max="3" width="13.26953125" customWidth="1"/>
  </cols>
  <sheetData>
    <row r="1" spans="1:3" x14ac:dyDescent="0.35">
      <c r="A1" s="22" t="s">
        <v>318</v>
      </c>
    </row>
    <row r="3" spans="1:3" x14ac:dyDescent="0.35">
      <c r="A3" s="22" t="s">
        <v>0</v>
      </c>
    </row>
    <row r="5" spans="1:3" x14ac:dyDescent="0.35">
      <c r="A5" s="31" t="s">
        <v>1</v>
      </c>
      <c r="B5" s="32"/>
      <c r="C5" s="33"/>
    </row>
    <row r="6" spans="1:3" ht="29" x14ac:dyDescent="0.35">
      <c r="A6" s="34" t="s">
        <v>2</v>
      </c>
      <c r="B6" s="34" t="s">
        <v>3</v>
      </c>
      <c r="C6" s="35" t="s">
        <v>4</v>
      </c>
    </row>
    <row r="7" spans="1:3" x14ac:dyDescent="0.35">
      <c r="A7" s="7">
        <v>1</v>
      </c>
      <c r="B7" s="9" t="s">
        <v>6</v>
      </c>
      <c r="C7" s="6"/>
    </row>
    <row r="8" spans="1:3" x14ac:dyDescent="0.35">
      <c r="A8" s="7" t="s">
        <v>5</v>
      </c>
      <c r="B8" s="9" t="s">
        <v>7</v>
      </c>
      <c r="C8" s="66">
        <v>0</v>
      </c>
    </row>
    <row r="9" spans="1:3" x14ac:dyDescent="0.35">
      <c r="A9" s="7"/>
      <c r="B9" s="9" t="s">
        <v>8</v>
      </c>
      <c r="C9" s="66">
        <f>SUM(C8)</f>
        <v>0</v>
      </c>
    </row>
    <row r="10" spans="1:3" x14ac:dyDescent="0.35">
      <c r="A10" s="7"/>
      <c r="B10" s="9"/>
      <c r="C10" s="6"/>
    </row>
    <row r="11" spans="1:3" x14ac:dyDescent="0.35">
      <c r="A11" s="7">
        <v>2</v>
      </c>
      <c r="B11" s="9" t="s">
        <v>170</v>
      </c>
      <c r="C11" s="66">
        <v>23.87</v>
      </c>
    </row>
    <row r="12" spans="1:3" x14ac:dyDescent="0.35">
      <c r="A12" s="7" t="s">
        <v>5</v>
      </c>
      <c r="B12" s="9" t="s">
        <v>8</v>
      </c>
      <c r="C12" s="66">
        <f>C11</f>
        <v>23.87</v>
      </c>
    </row>
    <row r="13" spans="1:3" x14ac:dyDescent="0.35">
      <c r="A13" s="7"/>
      <c r="B13" s="9"/>
      <c r="C13" s="6"/>
    </row>
    <row r="14" spans="1:3" x14ac:dyDescent="0.35">
      <c r="A14" s="7">
        <v>3</v>
      </c>
      <c r="B14" s="9" t="s">
        <v>9</v>
      </c>
      <c r="C14" s="6"/>
    </row>
    <row r="15" spans="1:3" x14ac:dyDescent="0.35">
      <c r="A15" s="7" t="s">
        <v>5</v>
      </c>
      <c r="B15" s="9" t="s">
        <v>9</v>
      </c>
      <c r="C15" s="26"/>
    </row>
    <row r="16" spans="1:3" x14ac:dyDescent="0.35">
      <c r="A16" s="7"/>
      <c r="B16" s="9" t="s">
        <v>8</v>
      </c>
      <c r="C16" s="26">
        <f>C15</f>
        <v>0</v>
      </c>
    </row>
    <row r="17" spans="1:4" x14ac:dyDescent="0.35">
      <c r="A17" s="7"/>
      <c r="B17" s="9"/>
      <c r="C17" s="6"/>
    </row>
    <row r="18" spans="1:4" x14ac:dyDescent="0.35">
      <c r="A18" s="7">
        <v>4</v>
      </c>
      <c r="B18" s="9" t="s">
        <v>10</v>
      </c>
      <c r="C18" s="6"/>
    </row>
    <row r="19" spans="1:4" x14ac:dyDescent="0.35">
      <c r="A19" s="7" t="s">
        <v>5</v>
      </c>
      <c r="B19" s="9" t="s">
        <v>11</v>
      </c>
      <c r="C19" s="26">
        <f>'Ann 3'!G16/100000</f>
        <v>41.77</v>
      </c>
    </row>
    <row r="20" spans="1:4" x14ac:dyDescent="0.35">
      <c r="A20" s="7"/>
      <c r="B20" s="9" t="s">
        <v>8</v>
      </c>
      <c r="C20" s="27">
        <f>C19</f>
        <v>41.77</v>
      </c>
    </row>
    <row r="21" spans="1:4" x14ac:dyDescent="0.35">
      <c r="A21" s="7"/>
      <c r="B21" s="9"/>
      <c r="C21" s="6"/>
    </row>
    <row r="22" spans="1:4" x14ac:dyDescent="0.35">
      <c r="A22" s="7">
        <v>5</v>
      </c>
      <c r="B22" s="9" t="s">
        <v>12</v>
      </c>
      <c r="C22" s="6"/>
    </row>
    <row r="23" spans="1:4" x14ac:dyDescent="0.35">
      <c r="A23" s="7" t="s">
        <v>5</v>
      </c>
      <c r="B23" s="9" t="s">
        <v>13</v>
      </c>
      <c r="C23" s="66">
        <v>0</v>
      </c>
    </row>
    <row r="24" spans="1:4" x14ac:dyDescent="0.35">
      <c r="A24" s="7"/>
      <c r="B24" s="9"/>
      <c r="C24" s="66"/>
    </row>
    <row r="25" spans="1:4" x14ac:dyDescent="0.35">
      <c r="A25" s="7">
        <v>6</v>
      </c>
      <c r="B25" s="9" t="s">
        <v>14</v>
      </c>
      <c r="C25" s="66">
        <v>5.36</v>
      </c>
    </row>
    <row r="26" spans="1:4" x14ac:dyDescent="0.35">
      <c r="A26" s="7"/>
      <c r="B26" s="9"/>
      <c r="C26" s="66"/>
    </row>
    <row r="27" spans="1:4" x14ac:dyDescent="0.35">
      <c r="A27" s="7">
        <v>7</v>
      </c>
      <c r="B27" s="9" t="s">
        <v>15</v>
      </c>
      <c r="C27" s="66">
        <v>0</v>
      </c>
    </row>
    <row r="28" spans="1:4" x14ac:dyDescent="0.35">
      <c r="A28" s="7" t="s">
        <v>5</v>
      </c>
      <c r="B28" s="9" t="s">
        <v>16</v>
      </c>
      <c r="C28" s="66">
        <v>0</v>
      </c>
      <c r="D28" s="24"/>
    </row>
    <row r="29" spans="1:4" x14ac:dyDescent="0.35">
      <c r="A29" s="7"/>
      <c r="B29" s="9" t="s">
        <v>8</v>
      </c>
      <c r="C29" s="66"/>
    </row>
    <row r="30" spans="1:4" x14ac:dyDescent="0.35">
      <c r="A30" s="7"/>
      <c r="B30" s="9"/>
      <c r="C30" s="66"/>
    </row>
    <row r="31" spans="1:4" x14ac:dyDescent="0.35">
      <c r="A31" s="7">
        <v>8</v>
      </c>
      <c r="B31" s="9" t="s">
        <v>17</v>
      </c>
      <c r="C31" s="6"/>
    </row>
    <row r="32" spans="1:4" ht="29" x14ac:dyDescent="0.35">
      <c r="A32" s="7"/>
      <c r="B32" s="10" t="s">
        <v>18</v>
      </c>
      <c r="C32" s="6"/>
    </row>
    <row r="33" spans="1:3" x14ac:dyDescent="0.35">
      <c r="A33" s="7" t="s">
        <v>5</v>
      </c>
      <c r="B33" s="9" t="s">
        <v>19</v>
      </c>
      <c r="C33" s="66">
        <v>0</v>
      </c>
    </row>
    <row r="34" spans="1:3" x14ac:dyDescent="0.35">
      <c r="A34" s="7" t="s">
        <v>20</v>
      </c>
      <c r="B34" s="9" t="s">
        <v>21</v>
      </c>
      <c r="C34" s="66">
        <v>0</v>
      </c>
    </row>
    <row r="35" spans="1:3" x14ac:dyDescent="0.35">
      <c r="A35" s="7"/>
      <c r="B35" s="9" t="s">
        <v>8</v>
      </c>
      <c r="C35" s="66">
        <f>SUM(C33:C34)</f>
        <v>0</v>
      </c>
    </row>
    <row r="36" spans="1:3" x14ac:dyDescent="0.35">
      <c r="A36" s="7"/>
      <c r="B36" s="9"/>
      <c r="C36" s="66"/>
    </row>
    <row r="37" spans="1:3" x14ac:dyDescent="0.35">
      <c r="A37" s="7">
        <v>9</v>
      </c>
      <c r="B37" s="9" t="s">
        <v>169</v>
      </c>
      <c r="C37" s="66">
        <v>0</v>
      </c>
    </row>
    <row r="38" spans="1:3" x14ac:dyDescent="0.35">
      <c r="A38" s="7"/>
      <c r="B38" s="9"/>
      <c r="C38" s="6"/>
    </row>
    <row r="39" spans="1:3" x14ac:dyDescent="0.35">
      <c r="A39" s="8"/>
      <c r="B39" s="11" t="s">
        <v>22</v>
      </c>
      <c r="C39" s="28">
        <f>C35+C27+C25+C20+C16+C23+C37+C12</f>
        <v>71</v>
      </c>
    </row>
    <row r="40" spans="1:3" x14ac:dyDescent="0.35">
      <c r="A40" s="1"/>
    </row>
    <row r="41" spans="1:3" x14ac:dyDescent="0.35">
      <c r="A41" s="1"/>
    </row>
    <row r="42" spans="1:3" x14ac:dyDescent="0.35">
      <c r="A42" s="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C7" sqref="C6:C7"/>
    </sheetView>
  </sheetViews>
  <sheetFormatPr defaultRowHeight="14.5" x14ac:dyDescent="0.35"/>
  <cols>
    <col min="2" max="2" width="22.08984375" customWidth="1"/>
    <col min="3" max="3" width="18.81640625" bestFit="1" customWidth="1"/>
  </cols>
  <sheetData>
    <row r="1" spans="1:4" x14ac:dyDescent="0.35">
      <c r="A1" s="22" t="s">
        <v>23</v>
      </c>
    </row>
    <row r="3" spans="1:4" x14ac:dyDescent="0.35">
      <c r="A3" s="36" t="s">
        <v>24</v>
      </c>
      <c r="B3" s="32" t="s">
        <v>25</v>
      </c>
      <c r="C3" s="33" t="s">
        <v>4</v>
      </c>
    </row>
    <row r="4" spans="1:4" x14ac:dyDescent="0.35">
      <c r="A4" s="14">
        <v>1</v>
      </c>
      <c r="B4" s="5" t="s">
        <v>26</v>
      </c>
      <c r="C4" s="27">
        <f>C8*10%</f>
        <v>7.1000000000000005</v>
      </c>
      <c r="D4" s="42"/>
    </row>
    <row r="5" spans="1:4" x14ac:dyDescent="0.35">
      <c r="A5" s="14">
        <v>2</v>
      </c>
      <c r="B5" s="5" t="s">
        <v>27</v>
      </c>
      <c r="C5" s="27">
        <v>0</v>
      </c>
      <c r="D5" s="2"/>
    </row>
    <row r="6" spans="1:4" x14ac:dyDescent="0.35">
      <c r="A6" s="14">
        <v>3</v>
      </c>
      <c r="B6" s="5" t="s">
        <v>28</v>
      </c>
      <c r="C6" s="66">
        <f>C8-C4-C7</f>
        <v>58.54</v>
      </c>
      <c r="D6" s="42"/>
    </row>
    <row r="7" spans="1:4" x14ac:dyDescent="0.35">
      <c r="A7" s="14">
        <v>4</v>
      </c>
      <c r="B7" s="5" t="s">
        <v>29</v>
      </c>
      <c r="C7" s="66">
        <f>'Ann 1'!C25</f>
        <v>5.36</v>
      </c>
    </row>
    <row r="8" spans="1:4" x14ac:dyDescent="0.35">
      <c r="A8" s="13"/>
      <c r="B8" s="4" t="s">
        <v>8</v>
      </c>
      <c r="C8" s="37">
        <f>'Ann 1'!C39</f>
        <v>71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dimension ref="A1:G20"/>
  <sheetViews>
    <sheetView tabSelected="1" workbookViewId="0">
      <selection activeCell="D20" sqref="D20"/>
    </sheetView>
  </sheetViews>
  <sheetFormatPr defaultRowHeight="14.5" x14ac:dyDescent="0.35"/>
  <cols>
    <col min="1" max="1" width="3.6328125" customWidth="1"/>
    <col min="2" max="2" width="33.54296875" customWidth="1"/>
    <col min="4" max="4" width="12.7265625" bestFit="1" customWidth="1"/>
    <col min="6" max="6" width="10.54296875" customWidth="1"/>
    <col min="7" max="7" width="12.1796875" bestFit="1" customWidth="1"/>
    <col min="9" max="9" width="9.1796875" bestFit="1" customWidth="1"/>
  </cols>
  <sheetData>
    <row r="1" spans="1:7" x14ac:dyDescent="0.35">
      <c r="A1" s="22" t="s">
        <v>30</v>
      </c>
    </row>
    <row r="3" spans="1:7" x14ac:dyDescent="0.35">
      <c r="A3" s="36" t="s">
        <v>252</v>
      </c>
      <c r="B3" s="32"/>
      <c r="C3" s="32"/>
      <c r="D3" s="32"/>
      <c r="E3" s="32" t="s">
        <v>31</v>
      </c>
      <c r="F3" s="32"/>
      <c r="G3" s="75" t="s">
        <v>32</v>
      </c>
    </row>
    <row r="4" spans="1:7" x14ac:dyDescent="0.35">
      <c r="A4" s="43">
        <v>1</v>
      </c>
      <c r="B4" s="93" t="s">
        <v>269</v>
      </c>
      <c r="C4" s="45"/>
      <c r="D4" s="88"/>
      <c r="E4" s="88">
        <v>1</v>
      </c>
      <c r="F4" s="89"/>
      <c r="G4" s="90">
        <v>2387000</v>
      </c>
    </row>
    <row r="5" spans="1:7" x14ac:dyDescent="0.35">
      <c r="A5" s="95" t="s">
        <v>253</v>
      </c>
      <c r="B5" s="96"/>
      <c r="C5" s="96"/>
      <c r="D5" s="96"/>
      <c r="E5" s="96"/>
      <c r="F5" s="96"/>
      <c r="G5" s="97">
        <f>SUM(G4:G4)</f>
        <v>2387000</v>
      </c>
    </row>
    <row r="6" spans="1:7" x14ac:dyDescent="0.35">
      <c r="A6" s="13"/>
      <c r="B6" s="4"/>
      <c r="C6" s="4"/>
      <c r="D6" s="4"/>
      <c r="E6" s="4"/>
      <c r="F6" s="4"/>
      <c r="G6" s="92"/>
    </row>
    <row r="7" spans="1:7" x14ac:dyDescent="0.35">
      <c r="A7" s="36" t="s">
        <v>33</v>
      </c>
      <c r="B7" s="32"/>
      <c r="C7" s="32"/>
      <c r="D7" s="32"/>
      <c r="E7" s="32" t="s">
        <v>31</v>
      </c>
      <c r="F7" s="32" t="s">
        <v>268</v>
      </c>
      <c r="G7" s="75" t="s">
        <v>32</v>
      </c>
    </row>
    <row r="8" spans="1:7" ht="29" x14ac:dyDescent="0.35">
      <c r="A8" s="14">
        <v>1</v>
      </c>
      <c r="B8" s="101" t="s">
        <v>260</v>
      </c>
      <c r="C8" s="5"/>
      <c r="D8" s="39"/>
      <c r="E8" s="39">
        <v>800</v>
      </c>
      <c r="F8" s="17">
        <v>5000</v>
      </c>
      <c r="G8" s="91">
        <f t="shared" ref="G8:G11" si="0">F8*E8</f>
        <v>4000000</v>
      </c>
    </row>
    <row r="9" spans="1:7" x14ac:dyDescent="0.35">
      <c r="A9" s="14">
        <v>2</v>
      </c>
      <c r="B9" s="101" t="s">
        <v>261</v>
      </c>
      <c r="C9" s="5"/>
      <c r="D9" s="39"/>
      <c r="E9" s="39">
        <v>1</v>
      </c>
      <c r="F9" s="17">
        <v>75000</v>
      </c>
      <c r="G9" s="91">
        <f t="shared" si="0"/>
        <v>75000</v>
      </c>
    </row>
    <row r="10" spans="1:7" x14ac:dyDescent="0.35">
      <c r="A10" s="14">
        <v>3</v>
      </c>
      <c r="B10" s="101" t="s">
        <v>262</v>
      </c>
      <c r="C10" s="5"/>
      <c r="D10" s="39"/>
      <c r="E10" s="39">
        <v>1</v>
      </c>
      <c r="F10" s="17">
        <v>50000</v>
      </c>
      <c r="G10" s="91">
        <f t="shared" si="0"/>
        <v>50000</v>
      </c>
    </row>
    <row r="11" spans="1:7" x14ac:dyDescent="0.35">
      <c r="A11" s="14">
        <v>4</v>
      </c>
      <c r="B11" s="101" t="s">
        <v>263</v>
      </c>
      <c r="C11" s="5"/>
      <c r="D11" s="39"/>
      <c r="E11" s="39">
        <v>1</v>
      </c>
      <c r="F11" s="17">
        <v>10000</v>
      </c>
      <c r="G11" s="91">
        <f t="shared" si="0"/>
        <v>10000</v>
      </c>
    </row>
    <row r="12" spans="1:7" x14ac:dyDescent="0.35">
      <c r="A12" s="14">
        <v>5</v>
      </c>
      <c r="B12" s="101" t="s">
        <v>264</v>
      </c>
      <c r="C12" s="5"/>
      <c r="D12" s="39"/>
      <c r="E12" s="39">
        <v>100</v>
      </c>
      <c r="F12" s="17">
        <v>100</v>
      </c>
      <c r="G12" s="91">
        <f>F12*E12</f>
        <v>10000</v>
      </c>
    </row>
    <row r="13" spans="1:7" x14ac:dyDescent="0.35">
      <c r="A13" s="14">
        <v>6</v>
      </c>
      <c r="B13" s="101" t="s">
        <v>265</v>
      </c>
      <c r="C13" s="5"/>
      <c r="D13" s="39"/>
      <c r="E13" s="39">
        <v>1</v>
      </c>
      <c r="F13" s="17">
        <v>10000</v>
      </c>
      <c r="G13" s="91">
        <f t="shared" ref="G13:G15" si="1">F13*E13</f>
        <v>10000</v>
      </c>
    </row>
    <row r="14" spans="1:7" x14ac:dyDescent="0.35">
      <c r="A14" s="14">
        <v>7</v>
      </c>
      <c r="B14" s="101" t="s">
        <v>266</v>
      </c>
      <c r="C14" s="5"/>
      <c r="D14" s="39"/>
      <c r="E14" s="39">
        <v>1</v>
      </c>
      <c r="F14" s="17">
        <v>15000</v>
      </c>
      <c r="G14" s="91">
        <f t="shared" si="1"/>
        <v>15000</v>
      </c>
    </row>
    <row r="15" spans="1:7" x14ac:dyDescent="0.35">
      <c r="A15" s="14">
        <v>8</v>
      </c>
      <c r="B15" s="101" t="s">
        <v>267</v>
      </c>
      <c r="C15" s="5"/>
      <c r="D15" s="39"/>
      <c r="E15" s="39">
        <v>1</v>
      </c>
      <c r="F15" s="17">
        <v>7000</v>
      </c>
      <c r="G15" s="91">
        <f t="shared" si="1"/>
        <v>7000</v>
      </c>
    </row>
    <row r="16" spans="1:7" s="22" customFormat="1" x14ac:dyDescent="0.35">
      <c r="A16" s="19" t="s">
        <v>34</v>
      </c>
      <c r="B16" s="20"/>
      <c r="C16" s="20"/>
      <c r="D16" s="20"/>
      <c r="E16" s="20"/>
      <c r="F16" s="20"/>
      <c r="G16" s="21">
        <f>SUM(G8:G15)</f>
        <v>4177000</v>
      </c>
    </row>
    <row r="17" spans="1:7" x14ac:dyDescent="0.35">
      <c r="A17" s="14"/>
      <c r="B17" s="5"/>
      <c r="C17" s="5"/>
      <c r="D17" s="5"/>
      <c r="E17" s="5"/>
      <c r="F17" s="5"/>
      <c r="G17" s="6"/>
    </row>
    <row r="18" spans="1:7" s="22" customFormat="1" x14ac:dyDescent="0.35">
      <c r="A18" s="19" t="s">
        <v>35</v>
      </c>
      <c r="B18" s="20"/>
      <c r="C18" s="20"/>
      <c r="D18" s="20"/>
      <c r="E18" s="20"/>
      <c r="F18" s="20"/>
      <c r="G18" s="21">
        <f>G16+G5</f>
        <v>6564000</v>
      </c>
    </row>
    <row r="19" spans="1:7" x14ac:dyDescent="0.35">
      <c r="G19" s="24"/>
    </row>
    <row r="20" spans="1:7" x14ac:dyDescent="0.35">
      <c r="G20" s="1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37"/>
  <sheetViews>
    <sheetView topLeftCell="C17" workbookViewId="0">
      <selection activeCell="H29" sqref="H29"/>
    </sheetView>
  </sheetViews>
  <sheetFormatPr defaultRowHeight="14.5" x14ac:dyDescent="0.35"/>
  <cols>
    <col min="2" max="2" width="55.7265625" bestFit="1" customWidth="1"/>
    <col min="3" max="11" width="15.6328125" bestFit="1" customWidth="1"/>
  </cols>
  <sheetData>
    <row r="1" spans="1:11" x14ac:dyDescent="0.35">
      <c r="A1" s="22" t="s">
        <v>36</v>
      </c>
    </row>
    <row r="3" spans="1:11" x14ac:dyDescent="0.35">
      <c r="A3" s="38" t="s">
        <v>37</v>
      </c>
      <c r="B3" s="38" t="s">
        <v>38</v>
      </c>
      <c r="C3" s="109" t="s">
        <v>48</v>
      </c>
      <c r="D3" s="109"/>
      <c r="E3" s="109"/>
      <c r="F3" s="109"/>
      <c r="G3" s="109"/>
      <c r="H3" s="109"/>
      <c r="I3" s="109"/>
      <c r="J3" s="109"/>
      <c r="K3" s="109"/>
    </row>
    <row r="4" spans="1:11" x14ac:dyDescent="0.35">
      <c r="A4" s="38"/>
      <c r="B4" s="38"/>
      <c r="C4" s="38" t="s">
        <v>39</v>
      </c>
      <c r="D4" s="38" t="s">
        <v>40</v>
      </c>
      <c r="E4" s="38" t="s">
        <v>41</v>
      </c>
      <c r="F4" s="38" t="s">
        <v>42</v>
      </c>
      <c r="G4" s="38" t="s">
        <v>43</v>
      </c>
      <c r="H4" s="38" t="s">
        <v>44</v>
      </c>
      <c r="I4" s="38" t="s">
        <v>45</v>
      </c>
      <c r="J4" s="38" t="s">
        <v>46</v>
      </c>
      <c r="K4" s="38" t="s">
        <v>47</v>
      </c>
    </row>
    <row r="5" spans="1:11" x14ac:dyDescent="0.35">
      <c r="A5" s="12"/>
      <c r="B5" s="12" t="s">
        <v>49</v>
      </c>
      <c r="C5" s="12">
        <v>12</v>
      </c>
      <c r="D5" s="12">
        <v>12</v>
      </c>
      <c r="E5" s="12">
        <v>12</v>
      </c>
      <c r="F5" s="12">
        <v>12</v>
      </c>
      <c r="G5" s="12">
        <v>12</v>
      </c>
      <c r="H5" s="12">
        <v>12</v>
      </c>
      <c r="I5" s="12">
        <v>12</v>
      </c>
      <c r="J5" s="12">
        <v>12</v>
      </c>
      <c r="K5" s="12">
        <v>12</v>
      </c>
    </row>
    <row r="6" spans="1:11" x14ac:dyDescent="0.35">
      <c r="A6" s="12"/>
      <c r="B6" s="12"/>
      <c r="C6" s="12"/>
      <c r="D6" s="12"/>
      <c r="E6" s="12"/>
      <c r="F6" s="12"/>
      <c r="G6" s="12"/>
      <c r="H6" s="12"/>
      <c r="I6" s="12"/>
      <c r="J6" s="12"/>
      <c r="K6" s="12"/>
    </row>
    <row r="7" spans="1:11" x14ac:dyDescent="0.35">
      <c r="A7" s="12"/>
      <c r="B7" s="12" t="s">
        <v>174</v>
      </c>
      <c r="C7" s="30">
        <f>20000+C37</f>
        <v>209000</v>
      </c>
      <c r="D7" s="30">
        <f t="shared" ref="D7:K7" si="0">20000+D37</f>
        <v>218450</v>
      </c>
      <c r="E7" s="30">
        <f t="shared" si="0"/>
        <v>228372.5</v>
      </c>
      <c r="F7" s="30">
        <f t="shared" si="0"/>
        <v>238791.125</v>
      </c>
      <c r="G7" s="30">
        <f t="shared" si="0"/>
        <v>249730.68125000002</v>
      </c>
      <c r="H7" s="30">
        <f t="shared" si="0"/>
        <v>249730.68125000002</v>
      </c>
      <c r="I7" s="30">
        <f t="shared" si="0"/>
        <v>249730.68125000002</v>
      </c>
      <c r="J7" s="30">
        <f t="shared" si="0"/>
        <v>249730.68125000002</v>
      </c>
      <c r="K7" s="30">
        <f t="shared" si="0"/>
        <v>249730.68125000002</v>
      </c>
    </row>
    <row r="8" spans="1:11" x14ac:dyDescent="0.35">
      <c r="A8" s="12"/>
      <c r="B8" s="12" t="s">
        <v>306</v>
      </c>
      <c r="C8" s="30">
        <f>50%*C16</f>
        <v>4415580</v>
      </c>
      <c r="D8" s="30">
        <f t="shared" ref="D8:K8" si="1">50%*D16</f>
        <v>5121206.4375</v>
      </c>
      <c r="E8" s="30">
        <f t="shared" si="1"/>
        <v>5422453.875</v>
      </c>
      <c r="F8" s="30">
        <f t="shared" si="1"/>
        <v>5723701.3125</v>
      </c>
      <c r="G8" s="30">
        <f t="shared" si="1"/>
        <v>6024948.75</v>
      </c>
      <c r="H8" s="30">
        <f t="shared" si="1"/>
        <v>6024948.75</v>
      </c>
      <c r="I8" s="30">
        <f t="shared" si="1"/>
        <v>6024948.75</v>
      </c>
      <c r="J8" s="30">
        <f t="shared" si="1"/>
        <v>6024948.75</v>
      </c>
      <c r="K8" s="30">
        <f t="shared" si="1"/>
        <v>6024948.75</v>
      </c>
    </row>
    <row r="9" spans="1:11" x14ac:dyDescent="0.35">
      <c r="A9" s="12"/>
      <c r="B9" s="12" t="s">
        <v>177</v>
      </c>
      <c r="C9" s="30">
        <f t="shared" ref="C9:K9" si="2">SUM(C7:C8)</f>
        <v>4624580</v>
      </c>
      <c r="D9" s="30">
        <f t="shared" si="2"/>
        <v>5339656.4375</v>
      </c>
      <c r="E9" s="30">
        <f t="shared" si="2"/>
        <v>5650826.375</v>
      </c>
      <c r="F9" s="30">
        <f t="shared" si="2"/>
        <v>5962492.4375</v>
      </c>
      <c r="G9" s="30">
        <f t="shared" si="2"/>
        <v>6274679.4312500004</v>
      </c>
      <c r="H9" s="30">
        <f t="shared" si="2"/>
        <v>6274679.4312500004</v>
      </c>
      <c r="I9" s="30">
        <f t="shared" si="2"/>
        <v>6274679.4312500004</v>
      </c>
      <c r="J9" s="30">
        <f t="shared" si="2"/>
        <v>6274679.4312500004</v>
      </c>
      <c r="K9" s="30">
        <f t="shared" si="2"/>
        <v>6274679.4312500004</v>
      </c>
    </row>
    <row r="10" spans="1:11" x14ac:dyDescent="0.35">
      <c r="A10" s="12"/>
      <c r="B10" s="12" t="s">
        <v>178</v>
      </c>
      <c r="C10" s="30">
        <f>SUM(C9)</f>
        <v>4624580</v>
      </c>
      <c r="D10" s="30">
        <f t="shared" ref="D10:K10" si="3">SUM(D9)</f>
        <v>5339656.4375</v>
      </c>
      <c r="E10" s="30">
        <f t="shared" si="3"/>
        <v>5650826.375</v>
      </c>
      <c r="F10" s="30">
        <f t="shared" si="3"/>
        <v>5962492.4375</v>
      </c>
      <c r="G10" s="30">
        <f t="shared" si="3"/>
        <v>6274679.4312500004</v>
      </c>
      <c r="H10" s="30">
        <f t="shared" si="3"/>
        <v>6274679.4312500004</v>
      </c>
      <c r="I10" s="30">
        <f t="shared" si="3"/>
        <v>6274679.4312500004</v>
      </c>
      <c r="J10" s="30">
        <f t="shared" si="3"/>
        <v>6274679.4312500004</v>
      </c>
      <c r="K10" s="30">
        <f t="shared" si="3"/>
        <v>6274679.4312500004</v>
      </c>
    </row>
    <row r="11" spans="1:11" x14ac:dyDescent="0.35">
      <c r="A11" s="12"/>
      <c r="B11" s="12"/>
      <c r="C11" s="30"/>
      <c r="D11" s="30"/>
      <c r="E11" s="30"/>
      <c r="F11" s="30"/>
      <c r="G11" s="30"/>
      <c r="H11" s="30"/>
      <c r="I11" s="30"/>
      <c r="J11" s="30"/>
      <c r="K11" s="30"/>
    </row>
    <row r="12" spans="1:11" x14ac:dyDescent="0.35">
      <c r="A12" s="12"/>
      <c r="B12" s="12" t="s">
        <v>51</v>
      </c>
      <c r="C12" s="30">
        <f>'Ann 8'!E13</f>
        <v>730800</v>
      </c>
      <c r="D12" s="30">
        <f>1.07*C12</f>
        <v>781956</v>
      </c>
      <c r="E12" s="30">
        <f t="shared" ref="E12:K12" si="4">1.07*D12</f>
        <v>836692.92</v>
      </c>
      <c r="F12" s="30">
        <f t="shared" si="4"/>
        <v>895261.42440000013</v>
      </c>
      <c r="G12" s="30">
        <f t="shared" si="4"/>
        <v>957929.72410800017</v>
      </c>
      <c r="H12" s="30">
        <f t="shared" si="4"/>
        <v>1024984.8047955602</v>
      </c>
      <c r="I12" s="30">
        <f t="shared" si="4"/>
        <v>1096733.7411312496</v>
      </c>
      <c r="J12" s="30">
        <f t="shared" si="4"/>
        <v>1173505.1030104372</v>
      </c>
      <c r="K12" s="30">
        <f t="shared" si="4"/>
        <v>1255650.4602211679</v>
      </c>
    </row>
    <row r="13" spans="1:11" x14ac:dyDescent="0.35">
      <c r="A13" s="12"/>
      <c r="B13" s="12" t="s">
        <v>8</v>
      </c>
      <c r="C13" s="30">
        <f t="shared" ref="C13:K13" si="5">SUM(C12:C12)</f>
        <v>730800</v>
      </c>
      <c r="D13" s="30">
        <f t="shared" si="5"/>
        <v>781956</v>
      </c>
      <c r="E13" s="30">
        <f t="shared" si="5"/>
        <v>836692.92</v>
      </c>
      <c r="F13" s="30">
        <f t="shared" si="5"/>
        <v>895261.42440000013</v>
      </c>
      <c r="G13" s="30">
        <f t="shared" si="5"/>
        <v>957929.72410800017</v>
      </c>
      <c r="H13" s="30">
        <f t="shared" si="5"/>
        <v>1024984.8047955602</v>
      </c>
      <c r="I13" s="30">
        <f t="shared" si="5"/>
        <v>1096733.7411312496</v>
      </c>
      <c r="J13" s="30">
        <f t="shared" si="5"/>
        <v>1173505.1030104372</v>
      </c>
      <c r="K13" s="30">
        <f t="shared" si="5"/>
        <v>1255650.4602211679</v>
      </c>
    </row>
    <row r="14" spans="1:11" x14ac:dyDescent="0.35">
      <c r="A14" s="12"/>
      <c r="B14" s="12"/>
      <c r="C14" s="30"/>
      <c r="D14" s="30"/>
      <c r="E14" s="30"/>
      <c r="F14" s="30"/>
      <c r="G14" s="30"/>
      <c r="H14" s="30"/>
      <c r="I14" s="30"/>
      <c r="J14" s="30"/>
      <c r="K14" s="30"/>
    </row>
    <row r="15" spans="1:11" x14ac:dyDescent="0.35">
      <c r="A15" s="12"/>
      <c r="B15" s="12" t="s">
        <v>88</v>
      </c>
      <c r="C15" s="30">
        <f t="shared" ref="C15:K15" si="6">C13+C10</f>
        <v>5355380</v>
      </c>
      <c r="D15" s="30">
        <f t="shared" si="6"/>
        <v>6121612.4375</v>
      </c>
      <c r="E15" s="30">
        <f t="shared" si="6"/>
        <v>6487519.2949999999</v>
      </c>
      <c r="F15" s="30">
        <f t="shared" si="6"/>
        <v>6857753.8618999999</v>
      </c>
      <c r="G15" s="30">
        <f t="shared" si="6"/>
        <v>7232609.1553580007</v>
      </c>
      <c r="H15" s="30">
        <f t="shared" si="6"/>
        <v>7299664.2360455608</v>
      </c>
      <c r="I15" s="30">
        <f t="shared" si="6"/>
        <v>7371413.1723812502</v>
      </c>
      <c r="J15" s="30">
        <f t="shared" si="6"/>
        <v>7448184.5342604378</v>
      </c>
      <c r="K15" s="30">
        <f t="shared" si="6"/>
        <v>7530329.891471168</v>
      </c>
    </row>
    <row r="16" spans="1:11" x14ac:dyDescent="0.35">
      <c r="A16" s="12"/>
      <c r="B16" s="12" t="s">
        <v>89</v>
      </c>
      <c r="C16" s="30">
        <f>Budgets!B9</f>
        <v>8831160</v>
      </c>
      <c r="D16" s="30">
        <f>Budgets!C9</f>
        <v>10242412.875</v>
      </c>
      <c r="E16" s="30">
        <f>Budgets!D9</f>
        <v>10844907.75</v>
      </c>
      <c r="F16" s="30">
        <f>Budgets!E9</f>
        <v>11447402.625</v>
      </c>
      <c r="G16" s="30">
        <f>Budgets!F9</f>
        <v>12049897.5</v>
      </c>
      <c r="H16" s="30">
        <f>Budgets!G9</f>
        <v>12049897.5</v>
      </c>
      <c r="I16" s="30">
        <f>Budgets!H9</f>
        <v>12049897.5</v>
      </c>
      <c r="J16" s="30">
        <f>Budgets!I9</f>
        <v>12049897.5</v>
      </c>
      <c r="K16" s="30">
        <f>Budgets!J9</f>
        <v>12049897.5</v>
      </c>
    </row>
    <row r="17" spans="1:11" x14ac:dyDescent="0.35">
      <c r="A17" s="12"/>
      <c r="B17" s="12" t="s">
        <v>90</v>
      </c>
      <c r="C17" s="30">
        <f>C16-C15</f>
        <v>3475780</v>
      </c>
      <c r="D17" s="30">
        <f t="shared" ref="D17:K17" si="7">D16-D15</f>
        <v>4120800.4375</v>
      </c>
      <c r="E17" s="30">
        <f t="shared" si="7"/>
        <v>4357388.4550000001</v>
      </c>
      <c r="F17" s="30">
        <f t="shared" si="7"/>
        <v>4589648.7631000001</v>
      </c>
      <c r="G17" s="30">
        <f t="shared" si="7"/>
        <v>4817288.3446419993</v>
      </c>
      <c r="H17" s="30">
        <f t="shared" si="7"/>
        <v>4750233.2639544392</v>
      </c>
      <c r="I17" s="30">
        <f t="shared" si="7"/>
        <v>4678484.3276187498</v>
      </c>
      <c r="J17" s="30">
        <f t="shared" si="7"/>
        <v>4601712.9657395622</v>
      </c>
      <c r="K17" s="30">
        <f t="shared" si="7"/>
        <v>4519567.608528832</v>
      </c>
    </row>
    <row r="18" spans="1:11" x14ac:dyDescent="0.35">
      <c r="A18" s="12"/>
      <c r="B18" s="12"/>
      <c r="C18" s="30"/>
      <c r="D18" s="30"/>
      <c r="E18" s="30"/>
      <c r="F18" s="30"/>
      <c r="G18" s="30"/>
      <c r="H18" s="30"/>
      <c r="I18" s="30"/>
      <c r="J18" s="30"/>
      <c r="K18" s="30"/>
    </row>
    <row r="19" spans="1:11" x14ac:dyDescent="0.35">
      <c r="A19" s="12"/>
      <c r="B19" s="12" t="s">
        <v>91</v>
      </c>
      <c r="C19" s="30"/>
      <c r="D19" s="30"/>
      <c r="E19" s="30"/>
      <c r="F19" s="30"/>
      <c r="G19" s="30"/>
      <c r="H19" s="30"/>
      <c r="I19" s="30"/>
      <c r="J19" s="30"/>
      <c r="K19" s="30"/>
    </row>
    <row r="20" spans="1:11" x14ac:dyDescent="0.35">
      <c r="A20" s="12"/>
      <c r="B20" s="12" t="s">
        <v>92</v>
      </c>
      <c r="C20" s="30">
        <f>SUM('Ann 13'!E10:E13)*100000</f>
        <v>347862.75</v>
      </c>
      <c r="D20" s="30">
        <f>SUM('Ann 13'!E14:E17)*100000</f>
        <v>303958.5</v>
      </c>
      <c r="E20" s="30">
        <f>SUM('Ann 13'!E18:E21)*100000</f>
        <v>249922.5</v>
      </c>
      <c r="F20" s="30">
        <f>SUM('Ann 13'!E22:E25)*100000</f>
        <v>195886.49999999997</v>
      </c>
      <c r="G20" s="30">
        <f>SUM('Ann 13'!E26:E29)*100000</f>
        <v>141850.5</v>
      </c>
      <c r="H20" s="30">
        <f>SUM('Ann 13'!E30:E33)*100000</f>
        <v>27019.499999999996</v>
      </c>
      <c r="I20" s="30">
        <f>SUM('Ann 13'!E34:E37)*100000</f>
        <v>0</v>
      </c>
      <c r="J20" s="30">
        <v>0</v>
      </c>
      <c r="K20" s="30">
        <v>0</v>
      </c>
    </row>
    <row r="21" spans="1:11" x14ac:dyDescent="0.35">
      <c r="A21" s="12"/>
      <c r="B21" s="12" t="s">
        <v>168</v>
      </c>
      <c r="C21" s="30">
        <f>'Ann 1'!$C$25*100000*10%</f>
        <v>53600</v>
      </c>
      <c r="D21" s="30">
        <f>'Ann 1'!$C$25*100000*10%</f>
        <v>53600</v>
      </c>
      <c r="E21" s="30">
        <f>'Ann 1'!$C$25*100000*10%</f>
        <v>53600</v>
      </c>
      <c r="F21" s="30">
        <f>'Ann 1'!$C$25*100000*10%</f>
        <v>53600</v>
      </c>
      <c r="G21" s="30">
        <f>'Ann 1'!$C$25*100000*10%</f>
        <v>53600</v>
      </c>
      <c r="H21" s="30">
        <f>'Ann 1'!$C$25*100000*10%</f>
        <v>53600</v>
      </c>
      <c r="I21" s="30">
        <f>'Ann 1'!$C$25*100000*10%</f>
        <v>53600</v>
      </c>
      <c r="J21" s="30">
        <f>'Ann 1'!$C$25*100000*10%</f>
        <v>53600</v>
      </c>
      <c r="K21" s="30">
        <f>'Ann 1'!$C$25*100000*10%</f>
        <v>53600</v>
      </c>
    </row>
    <row r="22" spans="1:11" x14ac:dyDescent="0.35">
      <c r="A22" s="12"/>
      <c r="B22" s="41" t="s">
        <v>102</v>
      </c>
      <c r="C22" s="30">
        <f>SUM(C20:C21)</f>
        <v>401462.75</v>
      </c>
      <c r="D22" s="30">
        <f t="shared" ref="D22:K22" si="8">SUM(D20:D21)</f>
        <v>357558.5</v>
      </c>
      <c r="E22" s="30">
        <f t="shared" si="8"/>
        <v>303522.5</v>
      </c>
      <c r="F22" s="30">
        <f t="shared" si="8"/>
        <v>249486.49999999997</v>
      </c>
      <c r="G22" s="30">
        <f t="shared" si="8"/>
        <v>195450.5</v>
      </c>
      <c r="H22" s="30">
        <f t="shared" si="8"/>
        <v>80619.5</v>
      </c>
      <c r="I22" s="30">
        <f t="shared" si="8"/>
        <v>53600</v>
      </c>
      <c r="J22" s="30">
        <f t="shared" si="8"/>
        <v>53600</v>
      </c>
      <c r="K22" s="30">
        <f t="shared" si="8"/>
        <v>53600</v>
      </c>
    </row>
    <row r="23" spans="1:11" x14ac:dyDescent="0.35">
      <c r="A23" s="12"/>
      <c r="B23" s="12"/>
      <c r="C23" s="30"/>
      <c r="D23" s="30"/>
      <c r="E23" s="30"/>
      <c r="F23" s="30"/>
      <c r="G23" s="30"/>
      <c r="H23" s="30"/>
      <c r="I23" s="30"/>
      <c r="J23" s="30"/>
      <c r="K23" s="30"/>
    </row>
    <row r="24" spans="1:11" x14ac:dyDescent="0.35">
      <c r="A24" s="12"/>
      <c r="B24" s="12" t="s">
        <v>103</v>
      </c>
      <c r="C24" s="30">
        <f t="shared" ref="C24:K24" si="9">C17-C22</f>
        <v>3074317.25</v>
      </c>
      <c r="D24" s="30">
        <f t="shared" si="9"/>
        <v>3763241.9375</v>
      </c>
      <c r="E24" s="30">
        <f t="shared" si="9"/>
        <v>4053865.9550000001</v>
      </c>
      <c r="F24" s="30">
        <f t="shared" si="9"/>
        <v>4340162.2631000001</v>
      </c>
      <c r="G24" s="30">
        <f t="shared" si="9"/>
        <v>4621837.8446419993</v>
      </c>
      <c r="H24" s="30">
        <f t="shared" si="9"/>
        <v>4669613.7639544392</v>
      </c>
      <c r="I24" s="30">
        <f t="shared" si="9"/>
        <v>4624884.3276187498</v>
      </c>
      <c r="J24" s="30">
        <f t="shared" si="9"/>
        <v>4548112.9657395622</v>
      </c>
      <c r="K24" s="30">
        <f t="shared" si="9"/>
        <v>4465967.608528832</v>
      </c>
    </row>
    <row r="25" spans="1:11" x14ac:dyDescent="0.35">
      <c r="A25" s="12"/>
      <c r="B25" s="12" t="s">
        <v>181</v>
      </c>
      <c r="C25" s="30">
        <f>'Ann 1'!C27*100000</f>
        <v>0</v>
      </c>
      <c r="D25" s="30">
        <v>0</v>
      </c>
      <c r="E25" s="30">
        <v>0</v>
      </c>
      <c r="F25" s="30">
        <v>0</v>
      </c>
      <c r="G25" s="30">
        <v>0</v>
      </c>
      <c r="H25" s="30">
        <v>0</v>
      </c>
      <c r="I25" s="30">
        <v>0</v>
      </c>
      <c r="J25" s="30">
        <v>0</v>
      </c>
      <c r="K25" s="30">
        <v>0</v>
      </c>
    </row>
    <row r="26" spans="1:11" x14ac:dyDescent="0.35">
      <c r="A26" s="12"/>
      <c r="B26" s="12" t="s">
        <v>317</v>
      </c>
      <c r="C26" s="30"/>
      <c r="D26" s="30"/>
      <c r="E26" s="30"/>
      <c r="F26" s="30"/>
      <c r="G26" s="30"/>
      <c r="H26" s="30">
        <f>'Ann 13'!C31*100000</f>
        <v>1774999.9999999995</v>
      </c>
      <c r="I26" s="30">
        <v>0</v>
      </c>
      <c r="J26" s="30">
        <v>0</v>
      </c>
      <c r="K26" s="30">
        <v>0</v>
      </c>
    </row>
    <row r="27" spans="1:11" x14ac:dyDescent="0.35">
      <c r="A27" s="12"/>
      <c r="B27" s="41" t="s">
        <v>104</v>
      </c>
      <c r="C27" s="30">
        <f>'Ann 9'!C12+'Ann 9'!D12+'Ann 9'!E12</f>
        <v>865250</v>
      </c>
      <c r="D27" s="30">
        <f>'Ann 9'!C13+'Ann 9'!D13+'Ann 9'!E13</f>
        <v>747397.5</v>
      </c>
      <c r="E27" s="30">
        <f>'Ann 9'!C14+'Ann 9'!D14+'Ann 9'!E14</f>
        <v>646029.375</v>
      </c>
      <c r="F27" s="30">
        <f>'Ann 9'!C15+'Ann 9'!D15+'Ann 9'!E15</f>
        <v>558792.31875000009</v>
      </c>
      <c r="G27" s="30">
        <f>'Ann 9'!C16+'Ann 9'!D16+'Ann 9'!E16</f>
        <v>483674.0859375</v>
      </c>
      <c r="H27" s="30">
        <f>'Ann 9'!C17+'Ann 9'!D17+'Ann 9'!E17</f>
        <v>418953.52654687501</v>
      </c>
      <c r="I27" s="30">
        <f>'Ann 9'!C18+'Ann 9'!D18+'Ann 9'!E18</f>
        <v>363157.99571484374</v>
      </c>
      <c r="J27" s="30">
        <f>'Ann 9'!C19+'Ann 9'!D19+'Ann 9'!E19</f>
        <v>315027.0446926172</v>
      </c>
      <c r="K27" s="30">
        <f>'Ann 9'!C20+'Ann 9'!D20+'Ann 9'!E20</f>
        <v>273481.46149022464</v>
      </c>
    </row>
    <row r="28" spans="1:11" x14ac:dyDescent="0.35">
      <c r="A28" s="12"/>
      <c r="B28" s="41" t="s">
        <v>105</v>
      </c>
      <c r="C28" s="30">
        <f>C24-C25-C27</f>
        <v>2209067.25</v>
      </c>
      <c r="D28" s="30">
        <f t="shared" ref="D28:G28" si="10">D24-D25-D27</f>
        <v>3015844.4375</v>
      </c>
      <c r="E28" s="30">
        <f t="shared" si="10"/>
        <v>3407836.58</v>
      </c>
      <c r="F28" s="30">
        <f t="shared" si="10"/>
        <v>3781369.94435</v>
      </c>
      <c r="G28" s="30">
        <f t="shared" si="10"/>
        <v>4138163.7587044993</v>
      </c>
      <c r="H28" s="30">
        <f>H24-H25-H27+H26</f>
        <v>6025660.2374075633</v>
      </c>
      <c r="I28" s="30">
        <f t="shared" ref="I28:K28" si="11">I24-I25-I27+I26</f>
        <v>4261726.3319039065</v>
      </c>
      <c r="J28" s="30">
        <f t="shared" si="11"/>
        <v>4233085.9210469453</v>
      </c>
      <c r="K28" s="30">
        <f t="shared" si="11"/>
        <v>4192486.1470386074</v>
      </c>
    </row>
    <row r="29" spans="1:11" x14ac:dyDescent="0.35">
      <c r="A29" s="12"/>
      <c r="B29" s="41" t="s">
        <v>106</v>
      </c>
      <c r="C29" s="30">
        <f>'Ann 10'!B14</f>
        <v>662720.17499999993</v>
      </c>
      <c r="D29" s="30">
        <f>'Ann 10'!C14</f>
        <v>904753.33124999993</v>
      </c>
      <c r="E29" s="30">
        <f>'Ann 10'!D14</f>
        <v>1022350.9739999999</v>
      </c>
      <c r="F29" s="30">
        <f>'Ann 10'!E14</f>
        <v>1134410.983305</v>
      </c>
      <c r="G29" s="30">
        <f>'Ann 10'!F14</f>
        <v>1241449.1276113498</v>
      </c>
      <c r="H29" s="30">
        <f>'Ann 10'!G14</f>
        <v>1275198.0712222692</v>
      </c>
      <c r="I29" s="30">
        <f>'Ann 10'!H14</f>
        <v>1278517.899571172</v>
      </c>
      <c r="J29" s="30">
        <f>'Ann 10'!I14</f>
        <v>1269925.7763140835</v>
      </c>
      <c r="K29" s="30">
        <f>'Ann 10'!J14</f>
        <v>1257745.8441115823</v>
      </c>
    </row>
    <row r="30" spans="1:11" x14ac:dyDescent="0.35">
      <c r="A30" s="12"/>
      <c r="B30" s="41" t="s">
        <v>107</v>
      </c>
      <c r="C30" s="30">
        <f>C28-C29</f>
        <v>1546347.0750000002</v>
      </c>
      <c r="D30" s="30">
        <f>D28-D29</f>
        <v>2111091.1062500002</v>
      </c>
      <c r="E30" s="30">
        <f t="shared" ref="E30:K30" si="12">E28-E29</f>
        <v>2385485.6060000001</v>
      </c>
      <c r="F30" s="30">
        <f t="shared" si="12"/>
        <v>2646958.9610449998</v>
      </c>
      <c r="G30" s="30">
        <f t="shared" si="12"/>
        <v>2896714.6310931495</v>
      </c>
      <c r="H30" s="30">
        <f t="shared" si="12"/>
        <v>4750462.1661852943</v>
      </c>
      <c r="I30" s="30">
        <f t="shared" si="12"/>
        <v>2983208.4323327346</v>
      </c>
      <c r="J30" s="30">
        <f t="shared" si="12"/>
        <v>2963160.1447328618</v>
      </c>
      <c r="K30" s="30">
        <f t="shared" si="12"/>
        <v>2934740.3029270251</v>
      </c>
    </row>
    <row r="31" spans="1:11" x14ac:dyDescent="0.35">
      <c r="A31" s="12"/>
      <c r="B31" s="41" t="s">
        <v>250</v>
      </c>
      <c r="C31" s="30">
        <f>C30*50%</f>
        <v>773173.53750000009</v>
      </c>
      <c r="D31" s="30">
        <f t="shared" ref="D31:K31" si="13">D30*50%</f>
        <v>1055545.5531250001</v>
      </c>
      <c r="E31" s="30">
        <f t="shared" si="13"/>
        <v>1192742.8030000001</v>
      </c>
      <c r="F31" s="30">
        <f t="shared" si="13"/>
        <v>1323479.4805224999</v>
      </c>
      <c r="G31" s="30">
        <f t="shared" si="13"/>
        <v>1448357.3155465748</v>
      </c>
      <c r="H31" s="30">
        <f t="shared" si="13"/>
        <v>2375231.0830926471</v>
      </c>
      <c r="I31" s="30">
        <f t="shared" si="13"/>
        <v>1491604.2161663673</v>
      </c>
      <c r="J31" s="30">
        <f t="shared" si="13"/>
        <v>1481580.0723664309</v>
      </c>
      <c r="K31" s="30">
        <f t="shared" si="13"/>
        <v>1467370.1514635126</v>
      </c>
    </row>
    <row r="32" spans="1:11" x14ac:dyDescent="0.35">
      <c r="A32" s="12"/>
      <c r="B32" s="41" t="s">
        <v>117</v>
      </c>
      <c r="C32" s="30">
        <f>C30-C31</f>
        <v>773173.53750000009</v>
      </c>
      <c r="D32" s="30">
        <f t="shared" ref="D32:K32" si="14">D30-D31</f>
        <v>1055545.5531250001</v>
      </c>
      <c r="E32" s="30">
        <f t="shared" si="14"/>
        <v>1192742.8030000001</v>
      </c>
      <c r="F32" s="30">
        <f t="shared" si="14"/>
        <v>1323479.4805224999</v>
      </c>
      <c r="G32" s="30">
        <f t="shared" si="14"/>
        <v>1448357.3155465748</v>
      </c>
      <c r="H32" s="30">
        <f t="shared" si="14"/>
        <v>2375231.0830926471</v>
      </c>
      <c r="I32" s="30">
        <f t="shared" si="14"/>
        <v>1491604.2161663673</v>
      </c>
      <c r="J32" s="30">
        <f t="shared" si="14"/>
        <v>1481580.0723664309</v>
      </c>
      <c r="K32" s="30">
        <f t="shared" si="14"/>
        <v>1467370.1514635126</v>
      </c>
    </row>
    <row r="34" spans="1:11" x14ac:dyDescent="0.35">
      <c r="A34" t="s">
        <v>302</v>
      </c>
    </row>
    <row r="35" spans="1:11" x14ac:dyDescent="0.35">
      <c r="A35" t="s">
        <v>176</v>
      </c>
    </row>
    <row r="36" spans="1:11" x14ac:dyDescent="0.35">
      <c r="B36" t="s">
        <v>175</v>
      </c>
      <c r="C36">
        <v>21000</v>
      </c>
      <c r="D36">
        <f>C36*1.05</f>
        <v>22050</v>
      </c>
      <c r="E36">
        <f t="shared" ref="E36:G36" si="15">D36*1.05</f>
        <v>23152.5</v>
      </c>
      <c r="F36">
        <f t="shared" si="15"/>
        <v>24310.125</v>
      </c>
      <c r="G36">
        <f t="shared" si="15"/>
        <v>25525.631250000002</v>
      </c>
      <c r="H36">
        <f>G36</f>
        <v>25525.631250000002</v>
      </c>
      <c r="I36">
        <f t="shared" ref="I36:K36" si="16">H36</f>
        <v>25525.631250000002</v>
      </c>
      <c r="J36">
        <f t="shared" si="16"/>
        <v>25525.631250000002</v>
      </c>
      <c r="K36">
        <f t="shared" si="16"/>
        <v>25525.631250000002</v>
      </c>
    </row>
    <row r="37" spans="1:11" x14ac:dyDescent="0.35">
      <c r="B37" t="s">
        <v>73</v>
      </c>
      <c r="C37">
        <f>C36*9</f>
        <v>189000</v>
      </c>
      <c r="D37">
        <f t="shared" ref="D37:K37" si="17">D36*9</f>
        <v>198450</v>
      </c>
      <c r="E37">
        <f t="shared" si="17"/>
        <v>208372.5</v>
      </c>
      <c r="F37">
        <f t="shared" si="17"/>
        <v>218791.125</v>
      </c>
      <c r="G37">
        <f t="shared" si="17"/>
        <v>229730.68125000002</v>
      </c>
      <c r="H37">
        <f t="shared" si="17"/>
        <v>229730.68125000002</v>
      </c>
      <c r="I37">
        <f t="shared" si="17"/>
        <v>229730.68125000002</v>
      </c>
      <c r="J37">
        <f t="shared" si="17"/>
        <v>229730.68125000002</v>
      </c>
      <c r="K37">
        <f t="shared" si="17"/>
        <v>229730.68125000002</v>
      </c>
    </row>
  </sheetData>
  <mergeCells count="1">
    <mergeCell ref="C3:K3"/>
  </mergeCells>
  <pageMargins left="0.7" right="0.7" top="0.75" bottom="0.75" header="0.3" footer="0.3"/>
  <pageSetup scale="59" fitToHeight="0" orientation="landscape" r:id="rId1"/>
  <ignoredErrors>
    <ignoredError sqref="D2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4"/>
  <sheetViews>
    <sheetView topLeftCell="A29" workbookViewId="0">
      <selection activeCell="B24" sqref="B24"/>
    </sheetView>
  </sheetViews>
  <sheetFormatPr defaultRowHeight="14.5" x14ac:dyDescent="0.35"/>
  <cols>
    <col min="2" max="2" width="28.26953125" customWidth="1"/>
    <col min="3" max="3" width="15.6328125" bestFit="1" customWidth="1"/>
    <col min="4" max="10" width="13.7265625" bestFit="1" customWidth="1"/>
    <col min="11" max="11" width="13.6328125" bestFit="1" customWidth="1"/>
    <col min="12" max="12" width="10" bestFit="1" customWidth="1"/>
  </cols>
  <sheetData>
    <row r="1" spans="1:11" x14ac:dyDescent="0.35">
      <c r="A1" s="22" t="s">
        <v>118</v>
      </c>
    </row>
    <row r="3" spans="1:11" x14ac:dyDescent="0.35">
      <c r="A3" t="s">
        <v>119</v>
      </c>
    </row>
    <row r="5" spans="1:11" x14ac:dyDescent="0.35">
      <c r="A5" s="110" t="s">
        <v>37</v>
      </c>
      <c r="B5" s="110" t="s">
        <v>38</v>
      </c>
      <c r="C5" s="110" t="s">
        <v>48</v>
      </c>
      <c r="D5" s="110"/>
      <c r="E5" s="110"/>
      <c r="F5" s="110"/>
      <c r="G5" s="110"/>
      <c r="H5" s="110"/>
      <c r="I5" s="110"/>
      <c r="J5" s="110"/>
      <c r="K5" s="110"/>
    </row>
    <row r="6" spans="1:11" x14ac:dyDescent="0.35">
      <c r="A6" s="110"/>
      <c r="B6" s="110"/>
      <c r="C6" s="34" t="s">
        <v>39</v>
      </c>
      <c r="D6" s="34" t="s">
        <v>40</v>
      </c>
      <c r="E6" s="34" t="s">
        <v>41</v>
      </c>
      <c r="F6" s="34" t="s">
        <v>42</v>
      </c>
      <c r="G6" s="34" t="s">
        <v>43</v>
      </c>
      <c r="H6" s="34" t="s">
        <v>44</v>
      </c>
      <c r="I6" s="34" t="s">
        <v>45</v>
      </c>
      <c r="J6" s="34" t="s">
        <v>46</v>
      </c>
      <c r="K6" s="34" t="s">
        <v>47</v>
      </c>
    </row>
    <row r="7" spans="1:11" x14ac:dyDescent="0.35">
      <c r="A7" s="43" t="s">
        <v>153</v>
      </c>
      <c r="B7" s="44" t="s">
        <v>120</v>
      </c>
      <c r="C7" s="55"/>
      <c r="D7" s="55"/>
      <c r="E7" s="46"/>
      <c r="F7" s="46"/>
      <c r="G7" s="46"/>
      <c r="H7" s="46"/>
      <c r="I7" s="46"/>
      <c r="J7" s="46"/>
      <c r="K7" s="46"/>
    </row>
    <row r="8" spans="1:11" x14ac:dyDescent="0.35">
      <c r="A8" s="14">
        <v>1</v>
      </c>
      <c r="B8" s="5" t="s">
        <v>121</v>
      </c>
      <c r="C8" s="9"/>
      <c r="D8" s="9"/>
      <c r="E8" s="6"/>
      <c r="F8" s="6"/>
      <c r="G8" s="6"/>
      <c r="H8" s="6"/>
      <c r="I8" s="6"/>
      <c r="J8" s="6"/>
      <c r="K8" s="6"/>
    </row>
    <row r="9" spans="1:11" x14ac:dyDescent="0.35">
      <c r="A9" s="14"/>
      <c r="B9" s="5" t="s">
        <v>122</v>
      </c>
      <c r="C9" s="56">
        <f>'Ann 9'!C6+'Ann 9'!D6+'Ann 9'!E6</f>
        <v>6564000</v>
      </c>
      <c r="D9" s="58">
        <f>C11</f>
        <v>5698750</v>
      </c>
      <c r="E9" s="27">
        <f t="shared" ref="E9:K9" si="0">D11</f>
        <v>4951352.5</v>
      </c>
      <c r="F9" s="27">
        <f t="shared" si="0"/>
        <v>4305323.125</v>
      </c>
      <c r="G9" s="27">
        <f t="shared" si="0"/>
        <v>3746530.8062499999</v>
      </c>
      <c r="H9" s="27">
        <f t="shared" si="0"/>
        <v>3262856.7203124999</v>
      </c>
      <c r="I9" s="27">
        <f t="shared" si="0"/>
        <v>2843903.1937656249</v>
      </c>
      <c r="J9" s="27">
        <f t="shared" si="0"/>
        <v>2480745.1980507812</v>
      </c>
      <c r="K9" s="27">
        <f t="shared" si="0"/>
        <v>2165718.1533581638</v>
      </c>
    </row>
    <row r="10" spans="1:11" x14ac:dyDescent="0.35">
      <c r="A10" s="14"/>
      <c r="B10" s="5" t="s">
        <v>123</v>
      </c>
      <c r="C10" s="56">
        <f>'Ann 9'!C12+'Ann 9'!D12+'Ann 9'!E12</f>
        <v>865250</v>
      </c>
      <c r="D10" s="58">
        <f>'Ann 9'!C13+'Ann 9'!D13+'Ann 9'!E13</f>
        <v>747397.5</v>
      </c>
      <c r="E10" s="27">
        <f>'Ann 9'!C14+'Ann 9'!D14+'Ann 9'!E14</f>
        <v>646029.375</v>
      </c>
      <c r="F10" s="27">
        <f>'Ann 9'!C15+'Ann 9'!D15+'Ann 9'!E15</f>
        <v>558792.31875000009</v>
      </c>
      <c r="G10" s="27">
        <f>'Ann 9'!C16+'Ann 9'!D16+'Ann 9'!E16</f>
        <v>483674.0859375</v>
      </c>
      <c r="H10" s="27">
        <f>'Ann 9'!C17+'Ann 9'!D17+'Ann 9'!E17</f>
        <v>418953.52654687501</v>
      </c>
      <c r="I10" s="27">
        <f>+'Ann 9'!C18+'Ann 9'!D18+'Ann 9'!E18</f>
        <v>363157.99571484374</v>
      </c>
      <c r="J10" s="27">
        <f>'Ann 9'!C19+'Ann 9'!D19+'Ann 9'!E19</f>
        <v>315027.0446926172</v>
      </c>
      <c r="K10" s="27">
        <f>+'Ann 9'!C20+'Ann 9'!D20+'Ann 9'!E20</f>
        <v>273481.46149022464</v>
      </c>
    </row>
    <row r="11" spans="1:11" x14ac:dyDescent="0.35">
      <c r="A11" s="14"/>
      <c r="B11" s="5" t="s">
        <v>124</v>
      </c>
      <c r="C11" s="56">
        <f>C9-C10</f>
        <v>5698750</v>
      </c>
      <c r="D11" s="58">
        <f>D9-D10</f>
        <v>4951352.5</v>
      </c>
      <c r="E11" s="27">
        <f t="shared" ref="E11:K11" si="1">E9-E10</f>
        <v>4305323.125</v>
      </c>
      <c r="F11" s="27">
        <f t="shared" si="1"/>
        <v>3746530.8062499999</v>
      </c>
      <c r="G11" s="27">
        <f t="shared" si="1"/>
        <v>3262856.7203124999</v>
      </c>
      <c r="H11" s="27">
        <f t="shared" si="1"/>
        <v>2843903.1937656249</v>
      </c>
      <c r="I11" s="27">
        <f t="shared" si="1"/>
        <v>2480745.1980507812</v>
      </c>
      <c r="J11" s="27">
        <f t="shared" si="1"/>
        <v>2165718.1533581638</v>
      </c>
      <c r="K11" s="27">
        <f t="shared" si="1"/>
        <v>1892236.6918679392</v>
      </c>
    </row>
    <row r="12" spans="1:11" x14ac:dyDescent="0.35">
      <c r="A12" s="14">
        <v>3</v>
      </c>
      <c r="B12" s="5" t="s">
        <v>125</v>
      </c>
      <c r="C12" s="56">
        <f>'Ann 4'!C16*30/330</f>
        <v>802832.72727272729</v>
      </c>
      <c r="D12" s="56">
        <f>'Ann 4'!D16*30/330</f>
        <v>931128.44318181823</v>
      </c>
      <c r="E12" s="56">
        <f>'Ann 4'!E16*30/330</f>
        <v>985900.70454545459</v>
      </c>
      <c r="F12" s="56">
        <f>'Ann 4'!F16*30/330</f>
        <v>1040672.9659090909</v>
      </c>
      <c r="G12" s="56">
        <f>'Ann 4'!G16*30/330</f>
        <v>1095445.2272727273</v>
      </c>
      <c r="H12" s="56">
        <f>'Ann 4'!H16*30/330</f>
        <v>1095445.2272727273</v>
      </c>
      <c r="I12" s="56">
        <f>'Ann 4'!I16*30/330</f>
        <v>1095445.2272727273</v>
      </c>
      <c r="J12" s="56">
        <f>'Ann 4'!J16*30/330</f>
        <v>1095445.2272727273</v>
      </c>
      <c r="K12" s="56">
        <f>'Ann 4'!K16*30/330</f>
        <v>1095445.2272727273</v>
      </c>
    </row>
    <row r="13" spans="1:11" x14ac:dyDescent="0.35">
      <c r="A13" s="14">
        <v>4</v>
      </c>
      <c r="B13" s="5" t="s">
        <v>126</v>
      </c>
      <c r="C13" s="57">
        <f>'Cash flows'!C20</f>
        <v>1856996.2647727286</v>
      </c>
      <c r="D13" s="57">
        <f>'Cash flows'!D20</f>
        <v>2768640.4088068181</v>
      </c>
      <c r="E13" s="57">
        <f>'Cash flows'!E20</f>
        <v>3716764.754079544</v>
      </c>
      <c r="F13" s="57">
        <f>'Cash flows'!F20</f>
        <v>4709085.3723338638</v>
      </c>
      <c r="G13" s="57">
        <f>'Cash flows'!G20</f>
        <v>5751911.0101284841</v>
      </c>
      <c r="H13" s="57">
        <f>'Cash flows'!H20</f>
        <v>6756987.4526202884</v>
      </c>
      <c r="I13" s="57">
        <f>'Cash flows'!I20</f>
        <v>8624794.9256534446</v>
      </c>
      <c r="J13" s="57">
        <f>'Cash flows'!J20</f>
        <v>10435360.472145069</v>
      </c>
      <c r="K13" s="57">
        <f>'Cash flows'!K20</f>
        <v>12191147.604591668</v>
      </c>
    </row>
    <row r="14" spans="1:11" x14ac:dyDescent="0.35">
      <c r="A14" s="14"/>
      <c r="B14" s="5" t="s">
        <v>134</v>
      </c>
      <c r="C14" s="56">
        <f t="shared" ref="C14:K14" si="2">SUM(C11:C13)</f>
        <v>8358578.9920454565</v>
      </c>
      <c r="D14" s="56">
        <f t="shared" si="2"/>
        <v>8651121.351988636</v>
      </c>
      <c r="E14" s="47">
        <f t="shared" si="2"/>
        <v>9007988.583625</v>
      </c>
      <c r="F14" s="47">
        <f t="shared" si="2"/>
        <v>9496289.144492954</v>
      </c>
      <c r="G14" s="47">
        <f t="shared" si="2"/>
        <v>10110212.957713712</v>
      </c>
      <c r="H14" s="47">
        <f t="shared" si="2"/>
        <v>10696335.87365864</v>
      </c>
      <c r="I14" s="47">
        <f t="shared" si="2"/>
        <v>12200985.350976953</v>
      </c>
      <c r="J14" s="47">
        <f t="shared" si="2"/>
        <v>13696523.852775961</v>
      </c>
      <c r="K14" s="47">
        <f t="shared" si="2"/>
        <v>15178829.523732334</v>
      </c>
    </row>
    <row r="15" spans="1:11" x14ac:dyDescent="0.35">
      <c r="A15" s="14"/>
      <c r="B15" s="5"/>
      <c r="C15" s="56"/>
      <c r="D15" s="56"/>
      <c r="E15" s="47"/>
      <c r="F15" s="47"/>
      <c r="G15" s="47"/>
      <c r="H15" s="47"/>
      <c r="I15" s="47"/>
      <c r="J15" s="47"/>
      <c r="K15" s="47"/>
    </row>
    <row r="16" spans="1:11" x14ac:dyDescent="0.35">
      <c r="A16" s="14" t="s">
        <v>154</v>
      </c>
      <c r="B16" s="48" t="s">
        <v>127</v>
      </c>
      <c r="C16" s="9"/>
      <c r="D16" s="9"/>
      <c r="E16" s="6"/>
      <c r="F16" s="6"/>
      <c r="G16" s="6"/>
      <c r="H16" s="6"/>
      <c r="I16" s="6"/>
      <c r="J16" s="6"/>
      <c r="K16" s="6"/>
    </row>
    <row r="17" spans="1:13" x14ac:dyDescent="0.35">
      <c r="A17" s="14">
        <v>1</v>
      </c>
      <c r="B17" s="5" t="s">
        <v>128</v>
      </c>
      <c r="C17" s="57">
        <f>'Ann 2'!C4*100000</f>
        <v>710000</v>
      </c>
      <c r="D17" s="57">
        <f>C20</f>
        <v>1483173.5375000001</v>
      </c>
      <c r="E17" s="18">
        <f t="shared" ref="E17:K17" si="3">D20</f>
        <v>2538719.0906250002</v>
      </c>
      <c r="F17" s="18">
        <f t="shared" si="3"/>
        <v>3731461.8936250005</v>
      </c>
      <c r="G17" s="18">
        <f t="shared" si="3"/>
        <v>5054941.3741475008</v>
      </c>
      <c r="H17" s="18">
        <f t="shared" si="3"/>
        <v>6503298.6896940758</v>
      </c>
      <c r="I17" s="18">
        <f t="shared" si="3"/>
        <v>8878529.7727867234</v>
      </c>
      <c r="J17" s="18">
        <f t="shared" si="3"/>
        <v>10370133.988953091</v>
      </c>
      <c r="K17" s="18">
        <f t="shared" si="3"/>
        <v>11851714.061319523</v>
      </c>
    </row>
    <row r="18" spans="1:13" x14ac:dyDescent="0.35">
      <c r="A18" s="14"/>
      <c r="B18" s="5" t="s">
        <v>129</v>
      </c>
      <c r="C18" s="57">
        <f>'Ann 4'!C32</f>
        <v>773173.53750000009</v>
      </c>
      <c r="D18" s="57">
        <f>'Ann 4'!D32</f>
        <v>1055545.5531250001</v>
      </c>
      <c r="E18" s="18">
        <f>'Ann 4'!E32</f>
        <v>1192742.8030000001</v>
      </c>
      <c r="F18" s="18">
        <f>'Ann 4'!F32</f>
        <v>1323479.4805224999</v>
      </c>
      <c r="G18" s="18">
        <f>'Ann 4'!G32</f>
        <v>1448357.3155465748</v>
      </c>
      <c r="H18" s="18">
        <f>'Ann 4'!H32</f>
        <v>2375231.0830926471</v>
      </c>
      <c r="I18" s="18">
        <f>'Ann 4'!I32</f>
        <v>1491604.2161663673</v>
      </c>
      <c r="J18" s="18">
        <f>'Ann 4'!J32</f>
        <v>1481580.0723664309</v>
      </c>
      <c r="K18" s="18">
        <f>'Ann 4'!K32</f>
        <v>1467370.1514635126</v>
      </c>
    </row>
    <row r="19" spans="1:13" x14ac:dyDescent="0.35">
      <c r="A19" s="14"/>
      <c r="B19" s="5" t="s">
        <v>130</v>
      </c>
      <c r="C19" s="57">
        <v>0</v>
      </c>
      <c r="D19" s="57">
        <v>0</v>
      </c>
      <c r="E19" s="18">
        <v>0</v>
      </c>
      <c r="F19" s="18">
        <v>0</v>
      </c>
      <c r="G19" s="18">
        <v>0</v>
      </c>
      <c r="H19" s="18">
        <v>0</v>
      </c>
      <c r="I19" s="18">
        <v>0</v>
      </c>
      <c r="J19" s="18">
        <v>0</v>
      </c>
      <c r="K19" s="18">
        <v>0</v>
      </c>
    </row>
    <row r="20" spans="1:13" x14ac:dyDescent="0.35">
      <c r="A20" s="14"/>
      <c r="B20" s="5" t="s">
        <v>131</v>
      </c>
      <c r="C20" s="57">
        <f>C17+C18</f>
        <v>1483173.5375000001</v>
      </c>
      <c r="D20" s="57">
        <f t="shared" ref="D20:K20" si="4">D17+D18</f>
        <v>2538719.0906250002</v>
      </c>
      <c r="E20" s="18">
        <f t="shared" si="4"/>
        <v>3731461.8936250005</v>
      </c>
      <c r="F20" s="18">
        <f t="shared" si="4"/>
        <v>5054941.3741475008</v>
      </c>
      <c r="G20" s="18">
        <f t="shared" si="4"/>
        <v>6503298.6896940758</v>
      </c>
      <c r="H20" s="18">
        <f t="shared" si="4"/>
        <v>8878529.7727867234</v>
      </c>
      <c r="I20" s="18">
        <f t="shared" si="4"/>
        <v>10370133.988953091</v>
      </c>
      <c r="J20" s="18">
        <f t="shared" si="4"/>
        <v>11851714.061319523</v>
      </c>
      <c r="K20" s="18">
        <f t="shared" si="4"/>
        <v>13319084.212783035</v>
      </c>
    </row>
    <row r="21" spans="1:13" x14ac:dyDescent="0.35">
      <c r="A21" s="14">
        <v>2</v>
      </c>
      <c r="B21" s="5" t="s">
        <v>132</v>
      </c>
      <c r="C21" s="57">
        <f>'Ann 13'!C14*100000</f>
        <v>5403700</v>
      </c>
      <c r="D21" s="57">
        <f>'Ann 13'!C18*100000</f>
        <v>4503100</v>
      </c>
      <c r="E21" s="57">
        <f>'Ann 13'!C22*100000</f>
        <v>3602500</v>
      </c>
      <c r="F21" s="57">
        <f>'Ann 13'!C26*100000</f>
        <v>2701900</v>
      </c>
      <c r="G21" s="18">
        <f>('Ann 13'!C29-'Ann 13'!D29)*100000</f>
        <v>1801299.9999999998</v>
      </c>
      <c r="H21" s="18">
        <f>('Ann 13'!C33-'Ann 13'!D33)*100000</f>
        <v>0</v>
      </c>
      <c r="I21" s="18">
        <v>0</v>
      </c>
      <c r="J21" s="18">
        <v>0</v>
      </c>
      <c r="K21" s="18">
        <v>0</v>
      </c>
    </row>
    <row r="22" spans="1:13" x14ac:dyDescent="0.35">
      <c r="A22" s="14">
        <v>3</v>
      </c>
      <c r="B22" s="59" t="s">
        <v>167</v>
      </c>
      <c r="C22" s="57">
        <f>'Ann 2'!$C$7*100000</f>
        <v>536000</v>
      </c>
      <c r="D22" s="57">
        <f>'Ann 2'!$C$7*100000</f>
        <v>536000</v>
      </c>
      <c r="E22" s="57">
        <f>'Ann 2'!$C$7*100000</f>
        <v>536000</v>
      </c>
      <c r="F22" s="57">
        <f>'Ann 2'!$C$7*100000</f>
        <v>536000</v>
      </c>
      <c r="G22" s="57">
        <f>'Ann 2'!$C$7*100000</f>
        <v>536000</v>
      </c>
      <c r="H22" s="57">
        <f>'Ann 2'!$C$7*100000</f>
        <v>536000</v>
      </c>
      <c r="I22" s="57">
        <f>'Ann 2'!$C$7*100000</f>
        <v>536000</v>
      </c>
      <c r="J22" s="57">
        <f>'Ann 2'!$C$7*100000</f>
        <v>536000</v>
      </c>
      <c r="K22" s="57">
        <f>'Ann 2'!$C$7*100000</f>
        <v>536000</v>
      </c>
    </row>
    <row r="23" spans="1:13" x14ac:dyDescent="0.35">
      <c r="A23" s="14">
        <v>4</v>
      </c>
      <c r="B23" s="59" t="s">
        <v>162</v>
      </c>
      <c r="C23" s="57">
        <f>('Ann 4'!C8+'Ann 4'!C12)*60/330</f>
        <v>935705.45454545459</v>
      </c>
      <c r="D23" s="57">
        <f>('Ann 4'!D8+'Ann 4'!D12)*60/330</f>
        <v>1073302.2613636365</v>
      </c>
      <c r="E23" s="57">
        <f>('Ann 4'!E8+'Ann 4'!E12)*60/330</f>
        <v>1138026.69</v>
      </c>
      <c r="F23" s="57">
        <f>('Ann 4'!F8+'Ann 4'!F12)*60/330</f>
        <v>1203447.7703454546</v>
      </c>
      <c r="G23" s="57">
        <f>('Ann 4'!G8+'Ann 4'!G12)*60/330</f>
        <v>1269614.2680196364</v>
      </c>
      <c r="H23" s="57">
        <f>('Ann 4'!H8+'Ann 4'!H12)*60/330</f>
        <v>1281806.1008719201</v>
      </c>
      <c r="I23" s="57">
        <f>('Ann 4'!I8+'Ann 4'!I12)*60/330</f>
        <v>1294851.3620238637</v>
      </c>
      <c r="J23" s="57">
        <f>('Ann 4'!J8+'Ann 4'!J12)*60/330</f>
        <v>1308809.7914564433</v>
      </c>
      <c r="K23" s="57">
        <f>('Ann 4'!K8+'Ann 4'!K12)*60/330</f>
        <v>1323745.3109493032</v>
      </c>
    </row>
    <row r="24" spans="1:13" x14ac:dyDescent="0.35">
      <c r="A24" s="14"/>
      <c r="B24" s="5" t="s">
        <v>133</v>
      </c>
      <c r="C24" s="56">
        <f t="shared" ref="C24:K24" si="5">SUM(C20:C23)</f>
        <v>8358578.9920454547</v>
      </c>
      <c r="D24" s="56">
        <f t="shared" si="5"/>
        <v>8651121.351988636</v>
      </c>
      <c r="E24" s="56">
        <f t="shared" si="5"/>
        <v>9007988.583625</v>
      </c>
      <c r="F24" s="56">
        <f t="shared" si="5"/>
        <v>9496289.1444929559</v>
      </c>
      <c r="G24" s="56">
        <f t="shared" si="5"/>
        <v>10110212.957713714</v>
      </c>
      <c r="H24" s="56">
        <f t="shared" si="5"/>
        <v>10696335.873658644</v>
      </c>
      <c r="I24" s="56">
        <f t="shared" si="5"/>
        <v>12200985.350976955</v>
      </c>
      <c r="J24" s="56">
        <f t="shared" si="5"/>
        <v>13696523.852775965</v>
      </c>
      <c r="K24" s="56">
        <f t="shared" si="5"/>
        <v>15178829.523732338</v>
      </c>
    </row>
    <row r="25" spans="1:13" x14ac:dyDescent="0.35">
      <c r="A25" s="14"/>
      <c r="B25" s="5"/>
      <c r="C25" s="56"/>
      <c r="D25" s="56"/>
      <c r="E25" s="56"/>
      <c r="F25" s="56"/>
      <c r="G25" s="56"/>
      <c r="H25" s="56"/>
      <c r="I25" s="56"/>
      <c r="J25" s="56"/>
      <c r="K25" s="56"/>
      <c r="L25" s="67"/>
      <c r="M25" s="5"/>
    </row>
    <row r="26" spans="1:13" x14ac:dyDescent="0.35">
      <c r="A26" s="60"/>
      <c r="B26" s="61" t="s">
        <v>135</v>
      </c>
      <c r="C26" s="62"/>
      <c r="D26" s="62"/>
      <c r="E26" s="63"/>
      <c r="F26" s="63"/>
      <c r="G26" s="63"/>
      <c r="H26" s="63"/>
      <c r="I26" s="63"/>
      <c r="J26" s="63"/>
      <c r="K26" s="63"/>
    </row>
    <row r="27" spans="1:13" x14ac:dyDescent="0.35">
      <c r="A27" s="14"/>
      <c r="B27" s="5" t="s">
        <v>136</v>
      </c>
      <c r="C27" s="56">
        <f t="shared" ref="C27:K27" si="6">SUM(C12:C13)</f>
        <v>2659828.9920454556</v>
      </c>
      <c r="D27" s="56">
        <f t="shared" si="6"/>
        <v>3699768.8519886364</v>
      </c>
      <c r="E27" s="47">
        <f t="shared" si="6"/>
        <v>4702665.4586249981</v>
      </c>
      <c r="F27" s="47">
        <f t="shared" si="6"/>
        <v>5749758.3382429546</v>
      </c>
      <c r="G27" s="47">
        <f t="shared" si="6"/>
        <v>6847356.2374012116</v>
      </c>
      <c r="H27" s="47">
        <f t="shared" si="6"/>
        <v>7852432.6798930159</v>
      </c>
      <c r="I27" s="47">
        <f t="shared" si="6"/>
        <v>9720240.1529261712</v>
      </c>
      <c r="J27" s="47">
        <f t="shared" si="6"/>
        <v>11530805.699417796</v>
      </c>
      <c r="K27" s="47">
        <f t="shared" si="6"/>
        <v>13286592.831864394</v>
      </c>
    </row>
    <row r="28" spans="1:13" x14ac:dyDescent="0.35">
      <c r="A28" s="14"/>
      <c r="B28" s="5" t="s">
        <v>137</v>
      </c>
      <c r="C28" s="56">
        <f>C23</f>
        <v>935705.45454545459</v>
      </c>
      <c r="D28" s="56">
        <f t="shared" ref="D28:K28" si="7">D23</f>
        <v>1073302.2613636365</v>
      </c>
      <c r="E28" s="56">
        <f t="shared" si="7"/>
        <v>1138026.69</v>
      </c>
      <c r="F28" s="56">
        <f t="shared" si="7"/>
        <v>1203447.7703454546</v>
      </c>
      <c r="G28" s="56">
        <f t="shared" si="7"/>
        <v>1269614.2680196364</v>
      </c>
      <c r="H28" s="56">
        <f t="shared" si="7"/>
        <v>1281806.1008719201</v>
      </c>
      <c r="I28" s="56">
        <f t="shared" si="7"/>
        <v>1294851.3620238637</v>
      </c>
      <c r="J28" s="56">
        <f t="shared" si="7"/>
        <v>1308809.7914564433</v>
      </c>
      <c r="K28" s="56">
        <f t="shared" si="7"/>
        <v>1323745.3109493032</v>
      </c>
    </row>
    <row r="29" spans="1:13" x14ac:dyDescent="0.35">
      <c r="A29" s="14"/>
      <c r="B29" s="5" t="s">
        <v>142</v>
      </c>
      <c r="C29" s="9">
        <f>C27/C28</f>
        <v>2.8425921630835664</v>
      </c>
      <c r="D29" s="9">
        <f>D27/D28</f>
        <v>3.4470894035833481</v>
      </c>
      <c r="E29" s="6">
        <f t="shared" ref="E29:K29" si="8">E27/E28</f>
        <v>4.1322980383043548</v>
      </c>
      <c r="F29" s="6">
        <f t="shared" si="8"/>
        <v>4.7777381619083172</v>
      </c>
      <c r="G29" s="6">
        <f t="shared" si="8"/>
        <v>5.3932571568227745</v>
      </c>
      <c r="H29" s="6">
        <f t="shared" si="8"/>
        <v>6.126069047847075</v>
      </c>
      <c r="I29" s="6">
        <f t="shared" si="8"/>
        <v>7.5068385746865598</v>
      </c>
      <c r="J29" s="6">
        <f t="shared" si="8"/>
        <v>8.8101462677676921</v>
      </c>
      <c r="K29" s="6">
        <f t="shared" si="8"/>
        <v>10.037121734796644</v>
      </c>
    </row>
    <row r="30" spans="1:13" x14ac:dyDescent="0.35">
      <c r="A30" s="14"/>
      <c r="B30" s="59" t="s">
        <v>155</v>
      </c>
      <c r="C30" s="9"/>
      <c r="D30" s="9"/>
      <c r="E30" s="6"/>
      <c r="F30" s="6">
        <f>AVERAGE(C29:K29)</f>
        <v>5.8970167276444805</v>
      </c>
      <c r="G30" s="6"/>
      <c r="H30" s="6"/>
      <c r="I30" s="6"/>
      <c r="J30" s="6"/>
      <c r="K30" s="6"/>
    </row>
    <row r="31" spans="1:13" x14ac:dyDescent="0.35">
      <c r="A31" s="14"/>
      <c r="B31" s="5"/>
      <c r="C31" s="9"/>
      <c r="D31" s="9"/>
      <c r="E31" s="6"/>
      <c r="F31" s="6"/>
      <c r="G31" s="6"/>
      <c r="H31" s="6"/>
      <c r="I31" s="6"/>
      <c r="J31" s="6"/>
      <c r="K31" s="6"/>
    </row>
    <row r="32" spans="1:13" x14ac:dyDescent="0.35">
      <c r="A32" s="60"/>
      <c r="B32" s="61" t="s">
        <v>139</v>
      </c>
      <c r="C32" s="62"/>
      <c r="D32" s="62"/>
      <c r="E32" s="63"/>
      <c r="F32" s="63"/>
      <c r="G32" s="63"/>
      <c r="H32" s="63"/>
      <c r="I32" s="63"/>
      <c r="J32" s="63"/>
      <c r="K32" s="63"/>
    </row>
    <row r="33" spans="1:11" x14ac:dyDescent="0.35">
      <c r="A33" s="14"/>
      <c r="B33" s="5" t="s">
        <v>140</v>
      </c>
      <c r="C33" s="56">
        <f>C21+C22</f>
        <v>5939700</v>
      </c>
      <c r="D33" s="56">
        <f t="shared" ref="D33:K33" si="9">D21+D22</f>
        <v>5039100</v>
      </c>
      <c r="E33" s="56">
        <f t="shared" si="9"/>
        <v>4138500</v>
      </c>
      <c r="F33" s="56">
        <f t="shared" si="9"/>
        <v>3237900</v>
      </c>
      <c r="G33" s="56">
        <f t="shared" si="9"/>
        <v>2337300</v>
      </c>
      <c r="H33" s="56">
        <f t="shared" si="9"/>
        <v>536000</v>
      </c>
      <c r="I33" s="56">
        <f t="shared" si="9"/>
        <v>536000</v>
      </c>
      <c r="J33" s="56">
        <f t="shared" si="9"/>
        <v>536000</v>
      </c>
      <c r="K33" s="56">
        <f t="shared" si="9"/>
        <v>536000</v>
      </c>
    </row>
    <row r="34" spans="1:11" x14ac:dyDescent="0.35">
      <c r="A34" s="14"/>
      <c r="B34" s="5" t="s">
        <v>141</v>
      </c>
      <c r="C34" s="56">
        <f t="shared" ref="C34:K34" si="10">C20</f>
        <v>1483173.5375000001</v>
      </c>
      <c r="D34" s="56">
        <f t="shared" si="10"/>
        <v>2538719.0906250002</v>
      </c>
      <c r="E34" s="47">
        <f t="shared" si="10"/>
        <v>3731461.8936250005</v>
      </c>
      <c r="F34" s="47">
        <f t="shared" si="10"/>
        <v>5054941.3741475008</v>
      </c>
      <c r="G34" s="47">
        <f t="shared" si="10"/>
        <v>6503298.6896940758</v>
      </c>
      <c r="H34" s="47">
        <f t="shared" si="10"/>
        <v>8878529.7727867234</v>
      </c>
      <c r="I34" s="47">
        <f t="shared" si="10"/>
        <v>10370133.988953091</v>
      </c>
      <c r="J34" s="47">
        <f t="shared" si="10"/>
        <v>11851714.061319523</v>
      </c>
      <c r="K34" s="47">
        <f t="shared" si="10"/>
        <v>13319084.212783035</v>
      </c>
    </row>
    <row r="35" spans="1:11" x14ac:dyDescent="0.35">
      <c r="A35" s="14"/>
      <c r="B35" s="5" t="s">
        <v>142</v>
      </c>
      <c r="C35" s="9">
        <f>C33/C34</f>
        <v>4.004723553800595</v>
      </c>
      <c r="D35" s="9">
        <f t="shared" ref="D35:K35" si="11">D33/D34</f>
        <v>1.9848986122995742</v>
      </c>
      <c r="E35" s="6">
        <f t="shared" si="11"/>
        <v>1.1090827450416691</v>
      </c>
      <c r="F35" s="6">
        <f t="shared" si="11"/>
        <v>0.64054155337183527</v>
      </c>
      <c r="G35" s="6">
        <f t="shared" si="11"/>
        <v>0.35940222209137834</v>
      </c>
      <c r="H35" s="6">
        <f t="shared" si="11"/>
        <v>6.0370355646367849E-2</v>
      </c>
      <c r="I35" s="6">
        <f t="shared" si="11"/>
        <v>5.1686892432728483E-2</v>
      </c>
      <c r="J35" s="6">
        <f t="shared" si="11"/>
        <v>4.5225525795407513E-2</v>
      </c>
      <c r="K35" s="6">
        <f t="shared" si="11"/>
        <v>4.0243007059417212E-2</v>
      </c>
    </row>
    <row r="36" spans="1:11" x14ac:dyDescent="0.35">
      <c r="A36" s="14"/>
      <c r="B36" s="59" t="s">
        <v>155</v>
      </c>
      <c r="C36" s="9"/>
      <c r="D36" s="9"/>
      <c r="E36" s="6"/>
      <c r="F36" s="6">
        <f>AVERAGE(C35:K35)</f>
        <v>0.92179716305988579</v>
      </c>
      <c r="G36" s="6"/>
      <c r="H36" s="6"/>
      <c r="I36" s="47"/>
      <c r="J36" s="47"/>
      <c r="K36" s="47"/>
    </row>
    <row r="37" spans="1:11" x14ac:dyDescent="0.35">
      <c r="A37" s="14"/>
      <c r="B37" s="5"/>
      <c r="C37" s="9"/>
      <c r="D37" s="9"/>
      <c r="E37" s="6"/>
      <c r="F37" s="6"/>
      <c r="G37" s="6"/>
      <c r="H37" s="6"/>
      <c r="I37" s="47"/>
      <c r="J37" s="47"/>
      <c r="K37" s="47"/>
    </row>
    <row r="38" spans="1:11" x14ac:dyDescent="0.35">
      <c r="A38" s="60"/>
      <c r="B38" s="61" t="s">
        <v>156</v>
      </c>
      <c r="C38" s="62"/>
      <c r="D38" s="62"/>
      <c r="E38" s="63"/>
      <c r="F38" s="63"/>
      <c r="G38" s="63"/>
      <c r="H38" s="63"/>
      <c r="I38" s="64"/>
      <c r="J38" s="64"/>
      <c r="K38" s="64"/>
    </row>
    <row r="39" spans="1:11" x14ac:dyDescent="0.35">
      <c r="A39" s="14"/>
      <c r="B39" s="59" t="s">
        <v>157</v>
      </c>
      <c r="C39" s="56">
        <f t="shared" ref="C39:K39" si="12">C11</f>
        <v>5698750</v>
      </c>
      <c r="D39" s="56">
        <f t="shared" si="12"/>
        <v>4951352.5</v>
      </c>
      <c r="E39" s="56">
        <f t="shared" si="12"/>
        <v>4305323.125</v>
      </c>
      <c r="F39" s="56">
        <f t="shared" si="12"/>
        <v>3746530.8062499999</v>
      </c>
      <c r="G39" s="56">
        <f t="shared" si="12"/>
        <v>3262856.7203124999</v>
      </c>
      <c r="H39" s="56">
        <f t="shared" si="12"/>
        <v>2843903.1937656249</v>
      </c>
      <c r="I39" s="56">
        <f t="shared" si="12"/>
        <v>2480745.1980507812</v>
      </c>
      <c r="J39" s="56">
        <f t="shared" si="12"/>
        <v>2165718.1533581638</v>
      </c>
      <c r="K39" s="56">
        <f t="shared" si="12"/>
        <v>1892236.6918679392</v>
      </c>
    </row>
    <row r="40" spans="1:11" x14ac:dyDescent="0.35">
      <c r="A40" s="14"/>
      <c r="B40" s="59" t="s">
        <v>140</v>
      </c>
      <c r="C40" s="56">
        <f t="shared" ref="C40:K40" si="13">C21+C22</f>
        <v>5939700</v>
      </c>
      <c r="D40" s="56">
        <f t="shared" si="13"/>
        <v>5039100</v>
      </c>
      <c r="E40" s="56">
        <f t="shared" si="13"/>
        <v>4138500</v>
      </c>
      <c r="F40" s="56">
        <f t="shared" si="13"/>
        <v>3237900</v>
      </c>
      <c r="G40" s="56">
        <f t="shared" si="13"/>
        <v>2337300</v>
      </c>
      <c r="H40" s="56">
        <f t="shared" si="13"/>
        <v>536000</v>
      </c>
      <c r="I40" s="56">
        <f t="shared" si="13"/>
        <v>536000</v>
      </c>
      <c r="J40" s="56">
        <f t="shared" si="13"/>
        <v>536000</v>
      </c>
      <c r="K40" s="56">
        <f t="shared" si="13"/>
        <v>536000</v>
      </c>
    </row>
    <row r="41" spans="1:11" x14ac:dyDescent="0.35">
      <c r="A41" s="14"/>
      <c r="B41" s="59" t="s">
        <v>151</v>
      </c>
      <c r="C41" s="9">
        <f>C39/C40</f>
        <v>0.95943397814704445</v>
      </c>
      <c r="D41" s="9">
        <f t="shared" ref="D41:G41" si="14">D39/D40</f>
        <v>0.9825866722232145</v>
      </c>
      <c r="E41" s="9">
        <f t="shared" si="14"/>
        <v>1.040310045910354</v>
      </c>
      <c r="F41" s="9">
        <f t="shared" si="14"/>
        <v>1.1570866321535562</v>
      </c>
      <c r="G41" s="9">
        <f t="shared" si="14"/>
        <v>1.3959939760888631</v>
      </c>
      <c r="H41" s="56">
        <v>0</v>
      </c>
      <c r="I41" s="56">
        <v>0</v>
      </c>
      <c r="J41" s="56">
        <v>0</v>
      </c>
      <c r="K41" s="56">
        <v>0</v>
      </c>
    </row>
    <row r="42" spans="1:11" x14ac:dyDescent="0.35">
      <c r="A42" s="14"/>
      <c r="B42" s="59"/>
      <c r="C42" s="9"/>
      <c r="D42" s="9"/>
      <c r="E42" s="6"/>
      <c r="F42" s="6">
        <f>AVERAGE(C41:K41)</f>
        <v>0.61504570050255902</v>
      </c>
      <c r="G42" s="6"/>
      <c r="H42" s="6"/>
      <c r="I42" s="6"/>
      <c r="J42" s="6"/>
      <c r="K42" s="6"/>
    </row>
    <row r="43" spans="1:11" x14ac:dyDescent="0.35">
      <c r="A43" s="14"/>
      <c r="B43" s="5"/>
      <c r="C43" s="9"/>
      <c r="D43" s="9"/>
      <c r="E43" s="6"/>
      <c r="F43" s="6"/>
      <c r="G43" s="6"/>
      <c r="H43" s="6"/>
      <c r="I43" s="47"/>
      <c r="J43" s="47"/>
      <c r="K43" s="47"/>
    </row>
    <row r="44" spans="1:11" x14ac:dyDescent="0.35">
      <c r="A44" s="60"/>
      <c r="B44" s="61" t="s">
        <v>148</v>
      </c>
      <c r="C44" s="62"/>
      <c r="D44" s="62"/>
      <c r="E44" s="63"/>
      <c r="F44" s="63"/>
      <c r="G44" s="63"/>
      <c r="H44" s="63"/>
      <c r="I44" s="64"/>
      <c r="J44" s="64"/>
      <c r="K44" s="64"/>
    </row>
    <row r="45" spans="1:11" x14ac:dyDescent="0.35">
      <c r="A45" s="14"/>
      <c r="B45" s="5" t="s">
        <v>149</v>
      </c>
      <c r="C45" s="57">
        <f>'Ann 4'!C22</f>
        <v>401462.75</v>
      </c>
      <c r="D45" s="57">
        <f>'Ann 4'!D22</f>
        <v>357558.5</v>
      </c>
      <c r="E45" s="57">
        <f>'Ann 4'!E22</f>
        <v>303522.5</v>
      </c>
      <c r="F45" s="57">
        <f>'Ann 4'!F22</f>
        <v>249486.49999999997</v>
      </c>
      <c r="G45" s="57">
        <f>'Ann 4'!G22</f>
        <v>195450.5</v>
      </c>
      <c r="H45" s="57">
        <f>'Ann 4'!H22</f>
        <v>80619.5</v>
      </c>
      <c r="I45" s="57">
        <f>'Ann 4'!I22</f>
        <v>53600</v>
      </c>
      <c r="J45" s="57">
        <f>'Ann 4'!J22</f>
        <v>53600</v>
      </c>
      <c r="K45" s="57">
        <f>'Ann 4'!K22</f>
        <v>53600</v>
      </c>
    </row>
    <row r="46" spans="1:11" x14ac:dyDescent="0.35">
      <c r="A46" s="14"/>
      <c r="B46" s="5" t="s">
        <v>152</v>
      </c>
      <c r="C46" s="57">
        <f>(SUM('Ann 13'!D10:D13)*100000)+('Ann 1'!$C$25*100000)</f>
        <v>986300</v>
      </c>
      <c r="D46" s="57">
        <f>(SUM('Ann 13'!D14:D17)*100000)+('Ann 1'!$C$25*100000)</f>
        <v>1436600</v>
      </c>
      <c r="E46" s="57">
        <f>(SUM('Ann 13'!D18:D21)*100000)+('Ann 1'!$C$25*100000)</f>
        <v>1436600</v>
      </c>
      <c r="F46" s="57">
        <f>(SUM('Ann 13'!D22:D25)*100000)+('Ann 1'!$C$25*100000)</f>
        <v>1436600</v>
      </c>
      <c r="G46" s="57">
        <f>(SUM('Ann 13'!D26:D29)*100000)+('Ann 1'!$C$25*100000)</f>
        <v>1436600</v>
      </c>
      <c r="H46" s="57">
        <f>(SUM('Ann 13'!D30:D33)*100000)+('Ann 1'!$C$25*100000)</f>
        <v>562300</v>
      </c>
      <c r="I46" s="57">
        <f>(SUM('Ann 13'!D34:D37)*100000)+('Ann 1'!$C$25*100000)</f>
        <v>536000</v>
      </c>
      <c r="J46" s="57">
        <f>(SUM('Ann 13'!D38:D38)*100000)+('Ann 1'!$C$25*100000)</f>
        <v>536000</v>
      </c>
      <c r="K46" s="57">
        <f>(SUM('Ann 13'!D39:D40)*100000)+('Ann 1'!$C$25*100000)</f>
        <v>536000</v>
      </c>
    </row>
    <row r="47" spans="1:11" x14ac:dyDescent="0.35">
      <c r="A47" s="14"/>
      <c r="B47" s="5" t="s">
        <v>8</v>
      </c>
      <c r="C47" s="57">
        <f>SUM(C45:C46)</f>
        <v>1387762.75</v>
      </c>
      <c r="D47" s="57">
        <f t="shared" ref="D47:K47" si="15">SUM(D45:D46)</f>
        <v>1794158.5</v>
      </c>
      <c r="E47" s="18">
        <f t="shared" si="15"/>
        <v>1740122.5</v>
      </c>
      <c r="F47" s="18">
        <f t="shared" si="15"/>
        <v>1686086.5</v>
      </c>
      <c r="G47" s="18">
        <f t="shared" si="15"/>
        <v>1632050.5</v>
      </c>
      <c r="H47" s="18">
        <f t="shared" si="15"/>
        <v>642919.5</v>
      </c>
      <c r="I47" s="18">
        <f t="shared" si="15"/>
        <v>589600</v>
      </c>
      <c r="J47" s="18">
        <f t="shared" si="15"/>
        <v>589600</v>
      </c>
      <c r="K47" s="18">
        <f t="shared" si="15"/>
        <v>589600</v>
      </c>
    </row>
    <row r="48" spans="1:11" x14ac:dyDescent="0.35">
      <c r="A48" s="14"/>
      <c r="B48" s="5" t="s">
        <v>150</v>
      </c>
      <c r="C48" s="57">
        <f>'Ann 4'!C17</f>
        <v>3475780</v>
      </c>
      <c r="D48" s="57">
        <f>'Ann 4'!D17</f>
        <v>4120800.4375</v>
      </c>
      <c r="E48" s="18">
        <f>'Ann 4'!E17</f>
        <v>4357388.4550000001</v>
      </c>
      <c r="F48" s="18">
        <f>'Ann 4'!F17</f>
        <v>4589648.7631000001</v>
      </c>
      <c r="G48" s="18">
        <f>'Ann 4'!G17</f>
        <v>4817288.3446419993</v>
      </c>
      <c r="H48" s="18">
        <f>'Ann 4'!H17</f>
        <v>4750233.2639544392</v>
      </c>
      <c r="I48" s="18">
        <f>'Ann 4'!I17</f>
        <v>4678484.3276187498</v>
      </c>
      <c r="J48" s="18">
        <f>'Ann 4'!J17</f>
        <v>4601712.9657395622</v>
      </c>
      <c r="K48" s="18">
        <f>'Ann 4'!K17</f>
        <v>4519567.608528832</v>
      </c>
    </row>
    <row r="49" spans="1:11" x14ac:dyDescent="0.35">
      <c r="A49" s="49"/>
      <c r="B49" s="50" t="s">
        <v>151</v>
      </c>
      <c r="C49" s="11">
        <f>C48/C47</f>
        <v>2.5045923735883528</v>
      </c>
      <c r="D49" s="11">
        <f t="shared" ref="D49:H49" si="16">D48/D47</f>
        <v>2.2967872891386127</v>
      </c>
      <c r="E49" s="51">
        <f t="shared" si="16"/>
        <v>2.5040699462250502</v>
      </c>
      <c r="F49" s="51">
        <f t="shared" si="16"/>
        <v>2.7220719477322191</v>
      </c>
      <c r="G49" s="51">
        <f t="shared" si="16"/>
        <v>2.951678483381488</v>
      </c>
      <c r="H49" s="51">
        <f t="shared" si="16"/>
        <v>7.3885350560286929</v>
      </c>
      <c r="I49" s="51">
        <v>0</v>
      </c>
      <c r="J49" s="51">
        <v>0</v>
      </c>
      <c r="K49" s="51">
        <v>0</v>
      </c>
    </row>
    <row r="50" spans="1:11" x14ac:dyDescent="0.35">
      <c r="A50" s="5"/>
      <c r="B50" s="59" t="s">
        <v>155</v>
      </c>
      <c r="C50" s="5"/>
      <c r="D50" s="5"/>
      <c r="E50" s="5"/>
      <c r="F50" s="5">
        <f>AVERAGE(C49:G49)</f>
        <v>2.5958400080131447</v>
      </c>
      <c r="G50" s="5"/>
      <c r="H50" s="5"/>
      <c r="I50" s="5"/>
      <c r="J50" s="5"/>
      <c r="K50" s="5"/>
    </row>
    <row r="51" spans="1:11" x14ac:dyDescent="0.35">
      <c r="I51" s="16"/>
      <c r="J51" s="16"/>
      <c r="K51" s="16"/>
    </row>
    <row r="53" spans="1:11" x14ac:dyDescent="0.35">
      <c r="A53" t="s">
        <v>230</v>
      </c>
    </row>
    <row r="54" spans="1:11" x14ac:dyDescent="0.35">
      <c r="A54" t="s">
        <v>138</v>
      </c>
    </row>
  </sheetData>
  <mergeCells count="3">
    <mergeCell ref="A5:A6"/>
    <mergeCell ref="B5:B6"/>
    <mergeCell ref="C5:K5"/>
  </mergeCells>
  <pageMargins left="0.7" right="0.7" top="0.75" bottom="0.75" header="0.3" footer="0.3"/>
  <pageSetup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2" t="s">
        <v>233</v>
      </c>
    </row>
    <row r="3" spans="1:3" x14ac:dyDescent="0.35">
      <c r="A3" s="3" t="s">
        <v>236</v>
      </c>
    </row>
    <row r="5" spans="1:3" x14ac:dyDescent="0.35">
      <c r="A5" s="22" t="s">
        <v>234</v>
      </c>
    </row>
    <row r="6" spans="1:3" x14ac:dyDescent="0.35">
      <c r="A6" s="23" t="s">
        <v>242</v>
      </c>
    </row>
    <row r="7" spans="1:3" x14ac:dyDescent="0.35">
      <c r="A7" t="s">
        <v>235</v>
      </c>
      <c r="B7">
        <v>5</v>
      </c>
      <c r="C7" t="s">
        <v>239</v>
      </c>
    </row>
    <row r="8" spans="1:3" x14ac:dyDescent="0.35">
      <c r="A8" t="s">
        <v>237</v>
      </c>
      <c r="B8">
        <v>30</v>
      </c>
      <c r="C8" t="s">
        <v>240</v>
      </c>
    </row>
    <row r="9" spans="1:3" x14ac:dyDescent="0.35">
      <c r="A9" t="s">
        <v>238</v>
      </c>
      <c r="B9">
        <f>B8*3000*20/B7</f>
        <v>360000</v>
      </c>
      <c r="C9" t="s">
        <v>241</v>
      </c>
    </row>
    <row r="11" spans="1:3" x14ac:dyDescent="0.35">
      <c r="A11" s="23" t="s">
        <v>243</v>
      </c>
    </row>
    <row r="12" spans="1:3" x14ac:dyDescent="0.35">
      <c r="A12" s="23" t="s">
        <v>235</v>
      </c>
      <c r="B12">
        <v>0.5</v>
      </c>
      <c r="C12" t="s">
        <v>244</v>
      </c>
    </row>
    <row r="13" spans="1:3" x14ac:dyDescent="0.35">
      <c r="A13" s="23" t="s">
        <v>245</v>
      </c>
      <c r="B13">
        <f>B12*3000*30</f>
        <v>45000</v>
      </c>
      <c r="C13" t="s">
        <v>246</v>
      </c>
    </row>
    <row r="15" spans="1:3" x14ac:dyDescent="0.35">
      <c r="A15" t="s">
        <v>247</v>
      </c>
      <c r="B15">
        <f>B13+B9</f>
        <v>405000</v>
      </c>
    </row>
    <row r="16" spans="1:3" x14ac:dyDescent="0.35">
      <c r="A16" t="s">
        <v>248</v>
      </c>
      <c r="B16">
        <v>75</v>
      </c>
    </row>
    <row r="17" spans="1:2" x14ac:dyDescent="0.35">
      <c r="A17" t="s">
        <v>249</v>
      </c>
      <c r="B17" s="94">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F17"/>
  <sheetViews>
    <sheetView workbookViewId="0">
      <selection activeCell="F10" sqref="F10"/>
    </sheetView>
  </sheetViews>
  <sheetFormatPr defaultRowHeight="14.5" x14ac:dyDescent="0.35"/>
  <cols>
    <col min="1" max="1" width="5.6328125" bestFit="1" customWidth="1"/>
    <col min="2" max="2" width="26.08984375" bestFit="1" customWidth="1"/>
    <col min="4" max="4" width="25" bestFit="1" customWidth="1"/>
    <col min="5" max="5" width="12.54296875" bestFit="1" customWidth="1"/>
  </cols>
  <sheetData>
    <row r="1" spans="1:6" x14ac:dyDescent="0.35">
      <c r="A1" s="22" t="s">
        <v>159</v>
      </c>
    </row>
    <row r="3" spans="1:6" x14ac:dyDescent="0.35">
      <c r="A3" s="3" t="s">
        <v>160</v>
      </c>
    </row>
    <row r="5" spans="1:6" x14ac:dyDescent="0.35">
      <c r="A5" s="34" t="s">
        <v>52</v>
      </c>
      <c r="B5" s="34" t="s">
        <v>53</v>
      </c>
      <c r="C5" s="34" t="s">
        <v>54</v>
      </c>
      <c r="D5" s="34" t="s">
        <v>55</v>
      </c>
      <c r="E5" s="34" t="s">
        <v>229</v>
      </c>
    </row>
    <row r="6" spans="1:6" x14ac:dyDescent="0.35">
      <c r="A6" s="41" t="s">
        <v>56</v>
      </c>
      <c r="B6" s="41" t="s">
        <v>180</v>
      </c>
      <c r="C6" s="41">
        <v>3</v>
      </c>
      <c r="D6" s="30">
        <v>10000</v>
      </c>
      <c r="E6" s="30">
        <f>D6*C6*12</f>
        <v>360000</v>
      </c>
    </row>
    <row r="7" spans="1:6" x14ac:dyDescent="0.35">
      <c r="A7" s="12" t="s">
        <v>57</v>
      </c>
      <c r="B7" s="12" t="s">
        <v>60</v>
      </c>
      <c r="C7" s="12">
        <v>1</v>
      </c>
      <c r="D7" s="30">
        <v>8000</v>
      </c>
      <c r="E7" s="30">
        <f>D7*C7*12</f>
        <v>96000</v>
      </c>
    </row>
    <row r="8" spans="1:6" x14ac:dyDescent="0.35">
      <c r="A8" s="12" t="s">
        <v>61</v>
      </c>
      <c r="B8" s="12" t="s">
        <v>228</v>
      </c>
      <c r="C8" s="12">
        <v>2</v>
      </c>
      <c r="D8" s="30">
        <v>7000</v>
      </c>
      <c r="E8" s="30">
        <f>D8*C8*12</f>
        <v>168000</v>
      </c>
    </row>
    <row r="9" spans="1:6" x14ac:dyDescent="0.35">
      <c r="A9" s="12" t="s">
        <v>227</v>
      </c>
      <c r="B9" s="12" t="s">
        <v>161</v>
      </c>
      <c r="C9" s="12">
        <v>1</v>
      </c>
      <c r="D9" s="30">
        <v>6000</v>
      </c>
      <c r="E9" s="30">
        <f>D9*C9*12</f>
        <v>72000</v>
      </c>
    </row>
    <row r="10" spans="1:6" x14ac:dyDescent="0.35">
      <c r="A10" s="111" t="s">
        <v>8</v>
      </c>
      <c r="B10" s="111"/>
      <c r="C10" s="111"/>
      <c r="D10" s="111"/>
      <c r="E10" s="40">
        <f>SUM(E6:E9)</f>
        <v>696000</v>
      </c>
      <c r="F10">
        <f>64000*5%</f>
        <v>3200</v>
      </c>
    </row>
    <row r="11" spans="1:6" x14ac:dyDescent="0.35">
      <c r="A11" s="43"/>
      <c r="B11" s="45"/>
      <c r="C11" s="45"/>
      <c r="D11" s="45"/>
      <c r="E11" s="46"/>
    </row>
    <row r="12" spans="1:6" x14ac:dyDescent="0.35">
      <c r="A12" s="49" t="s">
        <v>303</v>
      </c>
      <c r="B12" s="50"/>
      <c r="C12" s="50"/>
      <c r="D12" s="50"/>
      <c r="E12" s="52">
        <f>E10*5%</f>
        <v>34800</v>
      </c>
    </row>
    <row r="13" spans="1:6" x14ac:dyDescent="0.35">
      <c r="A13" s="13" t="s">
        <v>8</v>
      </c>
      <c r="B13" s="4"/>
      <c r="C13" s="4"/>
      <c r="D13" s="4"/>
      <c r="E13" s="53">
        <f>SUM(E10:E12)</f>
        <v>730800</v>
      </c>
    </row>
    <row r="15" spans="1:6" x14ac:dyDescent="0.35">
      <c r="A15" t="s">
        <v>58</v>
      </c>
      <c r="E15" s="16">
        <f>E13</f>
        <v>730800</v>
      </c>
    </row>
    <row r="16" spans="1:6" x14ac:dyDescent="0.35">
      <c r="A16" t="s">
        <v>59</v>
      </c>
      <c r="E16" s="25">
        <v>0.05</v>
      </c>
    </row>
    <row r="17" spans="1:5" x14ac:dyDescent="0.35">
      <c r="A17" t="s">
        <v>163</v>
      </c>
      <c r="E17">
        <f>SUM(C6:C9)</f>
        <v>7</v>
      </c>
    </row>
  </sheetData>
  <mergeCells count="1">
    <mergeCell ref="A10:D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heetViews>
  <sheetFormatPr defaultRowHeight="14.5" x14ac:dyDescent="0.35"/>
  <cols>
    <col min="1" max="1" width="6.36328125" bestFit="1" customWidth="1"/>
    <col min="2" max="2" width="18.81640625" bestFit="1" customWidth="1"/>
    <col min="3" max="3" width="19.453125" bestFit="1" customWidth="1"/>
    <col min="4" max="4" width="18.08984375" bestFit="1" customWidth="1"/>
    <col min="5" max="5" width="14.453125" bestFit="1" customWidth="1"/>
    <col min="6" max="6" width="26.453125" bestFit="1" customWidth="1"/>
  </cols>
  <sheetData>
    <row r="1" spans="1:6" x14ac:dyDescent="0.35">
      <c r="A1" s="22" t="s">
        <v>63</v>
      </c>
    </row>
    <row r="3" spans="1:6" x14ac:dyDescent="0.35">
      <c r="A3" s="3" t="s">
        <v>62</v>
      </c>
    </row>
    <row r="5" spans="1:6" x14ac:dyDescent="0.35">
      <c r="A5" s="34" t="s">
        <v>24</v>
      </c>
      <c r="B5" s="34" t="s">
        <v>3</v>
      </c>
      <c r="C5" s="34" t="s">
        <v>66</v>
      </c>
      <c r="D5" s="34" t="s">
        <v>11</v>
      </c>
      <c r="E5" s="34" t="s">
        <v>67</v>
      </c>
      <c r="F5" s="34" t="s">
        <v>68</v>
      </c>
    </row>
    <row r="6" spans="1:6" x14ac:dyDescent="0.35">
      <c r="A6" s="12" t="s">
        <v>56</v>
      </c>
      <c r="B6" s="12" t="s">
        <v>13</v>
      </c>
      <c r="C6" s="30">
        <f>'Ann 1'!C12*100000</f>
        <v>2387000</v>
      </c>
      <c r="D6" s="30">
        <f>('Ann 1'!C20+'Ann 1'!C37)*100000</f>
        <v>4177000.0000000005</v>
      </c>
      <c r="E6" s="30">
        <v>0</v>
      </c>
      <c r="F6" s="65">
        <f>SUM(C6:E6)/100000</f>
        <v>65.64</v>
      </c>
    </row>
    <row r="7" spans="1:6" x14ac:dyDescent="0.35">
      <c r="A7" s="12" t="s">
        <v>57</v>
      </c>
      <c r="B7" s="12" t="s">
        <v>64</v>
      </c>
      <c r="C7" s="30">
        <v>0</v>
      </c>
      <c r="D7" s="30">
        <v>0</v>
      </c>
      <c r="E7" s="30">
        <v>0</v>
      </c>
      <c r="F7" s="98">
        <f>SUM(C7:E7)/100000</f>
        <v>0</v>
      </c>
    </row>
    <row r="8" spans="1:6" x14ac:dyDescent="0.35">
      <c r="A8" s="12" t="s">
        <v>61</v>
      </c>
      <c r="B8" s="12" t="s">
        <v>65</v>
      </c>
      <c r="C8" s="30">
        <v>0</v>
      </c>
      <c r="D8" s="30">
        <v>0</v>
      </c>
      <c r="E8" s="30">
        <v>0</v>
      </c>
      <c r="F8" s="98">
        <f>SUM(C8:E8)/100000</f>
        <v>0</v>
      </c>
    </row>
    <row r="9" spans="1:6" x14ac:dyDescent="0.35">
      <c r="A9" s="12"/>
      <c r="B9" s="111" t="s">
        <v>8</v>
      </c>
      <c r="C9" s="111"/>
      <c r="D9" s="111"/>
      <c r="E9" s="111"/>
      <c r="F9" s="65">
        <f>SUM(F6:F8)</f>
        <v>65.64</v>
      </c>
    </row>
    <row r="11" spans="1:6" x14ac:dyDescent="0.35">
      <c r="A11" s="12"/>
      <c r="B11" s="12" t="s">
        <v>69</v>
      </c>
      <c r="C11" s="73">
        <v>0.1</v>
      </c>
      <c r="D11" s="73">
        <v>0.15</v>
      </c>
      <c r="E11" s="73">
        <v>0.1</v>
      </c>
      <c r="F11" s="12" t="s">
        <v>179</v>
      </c>
    </row>
    <row r="12" spans="1:6" x14ac:dyDescent="0.35">
      <c r="A12" s="77" t="s">
        <v>70</v>
      </c>
      <c r="B12" s="74">
        <v>1</v>
      </c>
      <c r="C12" s="78">
        <f>C11*C6</f>
        <v>238700</v>
      </c>
      <c r="D12" s="78">
        <f>D11*D6</f>
        <v>626550</v>
      </c>
      <c r="E12" s="78">
        <f>E11*E6</f>
        <v>0</v>
      </c>
      <c r="F12" s="78">
        <f>SUM(C12:E12)</f>
        <v>865250</v>
      </c>
    </row>
    <row r="13" spans="1:6" x14ac:dyDescent="0.35">
      <c r="A13" s="77" t="s">
        <v>70</v>
      </c>
      <c r="B13" s="74">
        <v>2</v>
      </c>
      <c r="C13" s="78">
        <f>(C6-C12)*C11</f>
        <v>214830</v>
      </c>
      <c r="D13" s="78">
        <f>(D6-D12)*D11</f>
        <v>532567.5</v>
      </c>
      <c r="E13" s="78">
        <f>(E6-E12)*E11</f>
        <v>0</v>
      </c>
      <c r="F13" s="78">
        <f>SUM(C13:E13)</f>
        <v>747397.5</v>
      </c>
    </row>
    <row r="14" spans="1:6" x14ac:dyDescent="0.35">
      <c r="A14" s="77" t="s">
        <v>70</v>
      </c>
      <c r="B14" s="74">
        <v>3</v>
      </c>
      <c r="C14" s="78">
        <f>(C6-C12-C13)*C11</f>
        <v>193347</v>
      </c>
      <c r="D14" s="78">
        <f>(D6-D12-D13)*D11</f>
        <v>452682.37500000006</v>
      </c>
      <c r="E14" s="78">
        <f>(E6-E12-E13)*E11</f>
        <v>0</v>
      </c>
      <c r="F14" s="78">
        <f t="shared" ref="F14:F20" si="0">SUM(C14:E14)</f>
        <v>646029.375</v>
      </c>
    </row>
    <row r="15" spans="1:6" x14ac:dyDescent="0.35">
      <c r="A15" s="77" t="s">
        <v>70</v>
      </c>
      <c r="B15" s="74">
        <v>4</v>
      </c>
      <c r="C15" s="78">
        <f>(C6-C12-C13-C14)*C11</f>
        <v>174012.30000000002</v>
      </c>
      <c r="D15" s="78">
        <f>(D6-D12-D13-D14)*D11</f>
        <v>384780.01875000005</v>
      </c>
      <c r="E15" s="78">
        <f>(E6-E12-E13-E14)*E11</f>
        <v>0</v>
      </c>
      <c r="F15" s="78">
        <f t="shared" si="0"/>
        <v>558792.31875000009</v>
      </c>
    </row>
    <row r="16" spans="1:6" x14ac:dyDescent="0.35">
      <c r="A16" s="77" t="s">
        <v>70</v>
      </c>
      <c r="B16" s="74">
        <v>5</v>
      </c>
      <c r="C16" s="78">
        <f>(C6-C12-C13-C14-C15)*C11</f>
        <v>156611.07</v>
      </c>
      <c r="D16" s="78">
        <f>(D6-D12-D13-D14-D15)*D11</f>
        <v>327063.01593749999</v>
      </c>
      <c r="E16" s="78">
        <f>(E6-E12-E13-E14-E15)*E11</f>
        <v>0</v>
      </c>
      <c r="F16" s="78">
        <f t="shared" si="0"/>
        <v>483674.0859375</v>
      </c>
    </row>
    <row r="17" spans="1:6" x14ac:dyDescent="0.35">
      <c r="A17" s="77" t="s">
        <v>70</v>
      </c>
      <c r="B17" s="74">
        <v>6</v>
      </c>
      <c r="C17" s="78">
        <f>(C6-C12-C13-C14-C15-C16)*C11</f>
        <v>140949.96299999999</v>
      </c>
      <c r="D17" s="78">
        <f>(D6-D12-D13-D14-D15-D16)*D11</f>
        <v>278003.56354687503</v>
      </c>
      <c r="E17" s="78">
        <f>(E6-E12-E13-E14-E15-E16)*E11</f>
        <v>0</v>
      </c>
      <c r="F17" s="78">
        <f t="shared" si="0"/>
        <v>418953.52654687501</v>
      </c>
    </row>
    <row r="18" spans="1:6" x14ac:dyDescent="0.35">
      <c r="A18" s="77" t="s">
        <v>70</v>
      </c>
      <c r="B18" s="74">
        <v>7</v>
      </c>
      <c r="C18" s="78">
        <f>(C6-C12-C13-C14-C15-C16-C17)*C11</f>
        <v>126854.96669999999</v>
      </c>
      <c r="D18" s="78">
        <f>(D6-D12-D13-D14-D15-D16-D17)*D11</f>
        <v>236303.02901484378</v>
      </c>
      <c r="E18" s="78">
        <f>(E6-E12-E13-E14-E15-E16-E17)*E11</f>
        <v>0</v>
      </c>
      <c r="F18" s="78">
        <f t="shared" si="0"/>
        <v>363157.99571484374</v>
      </c>
    </row>
    <row r="19" spans="1:6" x14ac:dyDescent="0.35">
      <c r="A19" s="77" t="s">
        <v>70</v>
      </c>
      <c r="B19" s="74">
        <v>8</v>
      </c>
      <c r="C19" s="78">
        <f>(C6-C12-C13-C14-C15-C16-C17-C18)*C11</f>
        <v>114169.47003</v>
      </c>
      <c r="D19" s="78">
        <f>(D6-D12-D13-D14-D15-D16-D17-D18)*D11</f>
        <v>200857.5746626172</v>
      </c>
      <c r="E19" s="78">
        <f>(E6-E12-E13-E14-E15-E16-E17-E18)*E11</f>
        <v>0</v>
      </c>
      <c r="F19" s="78">
        <f t="shared" si="0"/>
        <v>315027.0446926172</v>
      </c>
    </row>
    <row r="20" spans="1:6" x14ac:dyDescent="0.35">
      <c r="A20" s="77" t="s">
        <v>70</v>
      </c>
      <c r="B20" s="74">
        <v>9</v>
      </c>
      <c r="C20" s="78">
        <f>(C6-C12-C13-C14-C15-C16-C17-C18-C19)*C11</f>
        <v>102752.523027</v>
      </c>
      <c r="D20" s="78">
        <f>(D6-D12-D13-D14-D15-D16-D17-D18-D19)*D11</f>
        <v>170728.93846322465</v>
      </c>
      <c r="E20" s="78">
        <f>(E6-E12-E13-E14-E15-E16-E17-E18-E19)*E11</f>
        <v>0</v>
      </c>
      <c r="F20" s="78">
        <f t="shared" si="0"/>
        <v>273481.46149022464</v>
      </c>
    </row>
    <row r="21" spans="1:6" x14ac:dyDescent="0.35">
      <c r="B21" s="1"/>
    </row>
    <row r="22" spans="1:6" x14ac:dyDescent="0.35">
      <c r="A22" s="29"/>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Budgets</vt:lpstr>
      <vt:lpstr>Cash flows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2021-07-22T09:13:17Z</cp:lastPrinted>
  <dcterms:created xsi:type="dcterms:W3CDTF">2021-07-04T07:21:16Z</dcterms:created>
  <dcterms:modified xsi:type="dcterms:W3CDTF">2021-07-22T09:13:19Z</dcterms:modified>
</cp:coreProperties>
</file>