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1. Assignments\6. Ashiwini Mittal Sir- Nabcons\11. Grain grading &amp; warehouse\"/>
    </mc:Choice>
  </mc:AlternateContent>
  <xr:revisionPtr revIDLastSave="0" documentId="13_ncr:1_{2ABC8456-8CF8-44DD-9C13-8F207EAB9EA6}"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Budgets" sheetId="19" r:id="rId14"/>
    <sheet name="Cash flows" sheetId="18"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1" l="1"/>
  <c r="B12" i="18" l="1"/>
  <c r="D5" i="22"/>
  <c r="E4" i="22"/>
  <c r="E5" i="22" s="1"/>
  <c r="F4" i="22" l="1"/>
  <c r="I10" i="4"/>
  <c r="J10" i="4"/>
  <c r="D25" i="11"/>
  <c r="C24" i="11"/>
  <c r="D21" i="11"/>
  <c r="E12" i="11"/>
  <c r="E7" i="19"/>
  <c r="F7" i="19"/>
  <c r="G7" i="19"/>
  <c r="H7" i="19"/>
  <c r="I7" i="19"/>
  <c r="J7" i="19"/>
  <c r="D8" i="19"/>
  <c r="E8" i="19"/>
  <c r="F8" i="19"/>
  <c r="G8" i="19"/>
  <c r="H8" i="19"/>
  <c r="I8" i="19"/>
  <c r="J8" i="19"/>
  <c r="C8" i="19"/>
  <c r="D7" i="19"/>
  <c r="J19" i="4"/>
  <c r="C7" i="19"/>
  <c r="C39" i="4"/>
  <c r="D24" i="11" s="1"/>
  <c r="D19" i="4"/>
  <c r="D10" i="4" s="1"/>
  <c r="I19" i="4"/>
  <c r="B8" i="19"/>
  <c r="B7" i="19"/>
  <c r="B18" i="19"/>
  <c r="B17" i="19"/>
  <c r="C6" i="19"/>
  <c r="F6" i="19"/>
  <c r="I6" i="19"/>
  <c r="J6" i="19"/>
  <c r="B6" i="19"/>
  <c r="B13" i="19"/>
  <c r="D6" i="19" s="1"/>
  <c r="B12" i="19"/>
  <c r="D5" i="19" s="1"/>
  <c r="C28" i="4"/>
  <c r="C6" i="10"/>
  <c r="E8" i="9"/>
  <c r="G16" i="3"/>
  <c r="C8" i="4" s="1"/>
  <c r="C21" i="11"/>
  <c r="D24" i="4"/>
  <c r="E24" i="4"/>
  <c r="F24" i="4"/>
  <c r="G24" i="4"/>
  <c r="H24" i="4"/>
  <c r="I24" i="4"/>
  <c r="J24" i="4"/>
  <c r="K24" i="4"/>
  <c r="C24" i="4"/>
  <c r="D8" i="11" s="1"/>
  <c r="C7" i="2"/>
  <c r="B4" i="18" s="1"/>
  <c r="G5" i="3"/>
  <c r="C15" i="1" s="1"/>
  <c r="B13" i="23"/>
  <c r="B15" i="23" s="1"/>
  <c r="B17" i="23" s="1"/>
  <c r="B9" i="23"/>
  <c r="C7" i="4" l="1"/>
  <c r="F5" i="22"/>
  <c r="G4" i="22"/>
  <c r="D23" i="11"/>
  <c r="D26" i="11" s="1"/>
  <c r="D27" i="11" s="1"/>
  <c r="D29" i="11" s="1"/>
  <c r="D31" i="11"/>
  <c r="C23" i="11"/>
  <c r="C26" i="11" s="1"/>
  <c r="C27" i="11" s="1"/>
  <c r="C29" i="11" s="1"/>
  <c r="C31" i="11"/>
  <c r="E31" i="11" s="1"/>
  <c r="K19" i="4"/>
  <c r="K10" i="4" s="1"/>
  <c r="E19" i="4"/>
  <c r="E10" i="4" s="1"/>
  <c r="H19" i="4"/>
  <c r="H10" i="4" s="1"/>
  <c r="G19" i="4"/>
  <c r="G10" i="4" s="1"/>
  <c r="F19" i="4"/>
  <c r="F10" i="4" s="1"/>
  <c r="C19" i="4"/>
  <c r="C10" i="4" s="1"/>
  <c r="C5" i="19"/>
  <c r="J5" i="19"/>
  <c r="I5" i="19"/>
  <c r="H6" i="19"/>
  <c r="H5" i="19"/>
  <c r="G6" i="19"/>
  <c r="G5" i="19"/>
  <c r="E6" i="19"/>
  <c r="E5" i="19"/>
  <c r="F5" i="19"/>
  <c r="B5" i="19"/>
  <c r="D8" i="4"/>
  <c r="E8" i="4" s="1"/>
  <c r="F8" i="4" s="1"/>
  <c r="G8" i="4" s="1"/>
  <c r="H8" i="4" s="1"/>
  <c r="I8" i="4" s="1"/>
  <c r="J8" i="4" s="1"/>
  <c r="K8" i="4" s="1"/>
  <c r="A6" i="21"/>
  <c r="G5" i="22" l="1"/>
  <c r="H4" i="22"/>
  <c r="E29" i="11"/>
  <c r="A13" i="21"/>
  <c r="A11" i="21"/>
  <c r="A10" i="21"/>
  <c r="A9" i="21"/>
  <c r="K46" i="7"/>
  <c r="J46" i="7"/>
  <c r="D22" i="7"/>
  <c r="E22" i="7"/>
  <c r="F22" i="7"/>
  <c r="G22" i="7"/>
  <c r="H22" i="7"/>
  <c r="I22" i="7"/>
  <c r="I33" i="7" s="1"/>
  <c r="J22" i="7"/>
  <c r="J33" i="7" s="1"/>
  <c r="K22" i="7"/>
  <c r="K33" i="7" s="1"/>
  <c r="C22" i="7"/>
  <c r="E9" i="9"/>
  <c r="A15" i="21"/>
  <c r="H5" i="22" l="1"/>
  <c r="I4" i="22"/>
  <c r="A16" i="21"/>
  <c r="A14" i="21"/>
  <c r="A12" i="21"/>
  <c r="A8" i="21"/>
  <c r="A7" i="21"/>
  <c r="A5" i="21"/>
  <c r="A4" i="21"/>
  <c r="C23" i="18"/>
  <c r="K23" i="18"/>
  <c r="J23" i="18"/>
  <c r="I23" i="18"/>
  <c r="H23" i="18"/>
  <c r="G23" i="18"/>
  <c r="F23" i="18"/>
  <c r="E23" i="18"/>
  <c r="D23" i="18"/>
  <c r="I5" i="22" l="1"/>
  <c r="J4" i="22"/>
  <c r="I40" i="7"/>
  <c r="J40" i="7"/>
  <c r="K40" i="7"/>
  <c r="J5" i="22" l="1"/>
  <c r="K4" i="22"/>
  <c r="C19" i="1"/>
  <c r="G18" i="3"/>
  <c r="D38" i="4"/>
  <c r="D39" i="4" s="1"/>
  <c r="D7" i="4" s="1"/>
  <c r="K5" i="22" l="1"/>
  <c r="L4" i="22"/>
  <c r="L5" i="22" s="1"/>
  <c r="E38" i="4"/>
  <c r="E39" i="4" s="1"/>
  <c r="E7" i="4" s="1"/>
  <c r="F38" i="4" l="1"/>
  <c r="F39" i="4" s="1"/>
  <c r="F7" i="4" s="1"/>
  <c r="G38" i="4" l="1"/>
  <c r="G39" i="4" s="1"/>
  <c r="G7" i="4" s="1"/>
  <c r="C12" i="7" l="1"/>
  <c r="C8" i="18" s="1"/>
  <c r="K12" i="7"/>
  <c r="E5" i="11"/>
  <c r="D7" i="11" s="1"/>
  <c r="J3" i="20"/>
  <c r="B3" i="20"/>
  <c r="H38" i="4"/>
  <c r="H39" i="4" s="1"/>
  <c r="H7" i="4" s="1"/>
  <c r="H12" i="7" l="1"/>
  <c r="G12" i="7"/>
  <c r="J12" i="7"/>
  <c r="I12" i="7"/>
  <c r="E12" i="7"/>
  <c r="E8" i="18" s="1"/>
  <c r="F12" i="7"/>
  <c r="D12" i="7"/>
  <c r="D8" i="18" s="1"/>
  <c r="G3" i="20"/>
  <c r="C3" i="20"/>
  <c r="D3" i="20"/>
  <c r="I3" i="20"/>
  <c r="H3" i="20"/>
  <c r="E3" i="20"/>
  <c r="F3" i="20"/>
  <c r="I38" i="4"/>
  <c r="I39" i="4" s="1"/>
  <c r="I7" i="4" s="1"/>
  <c r="J38" i="4" l="1"/>
  <c r="K38" i="4" l="1"/>
  <c r="K39" i="4" s="1"/>
  <c r="J39" i="4"/>
  <c r="J7" i="4" s="1"/>
  <c r="D12" i="14"/>
  <c r="C12" i="1"/>
  <c r="C35" i="1"/>
  <c r="J25" i="4"/>
  <c r="K25" i="4"/>
  <c r="K13" i="18" s="1"/>
  <c r="K7" i="4" l="1"/>
  <c r="D9" i="11"/>
  <c r="C46" i="7"/>
  <c r="D13" i="14"/>
  <c r="C19" i="18"/>
  <c r="J13" i="18"/>
  <c r="J45" i="7"/>
  <c r="K45" i="7"/>
  <c r="E6" i="9"/>
  <c r="E18" i="9"/>
  <c r="E9" i="11" l="1"/>
  <c r="E10" i="11" s="1"/>
  <c r="D14" i="14"/>
  <c r="D15" i="14" s="1"/>
  <c r="D16" i="14" s="1"/>
  <c r="D17" i="14" s="1"/>
  <c r="D18" i="14" s="1"/>
  <c r="D19" i="18" l="1"/>
  <c r="D46" i="7"/>
  <c r="D19" i="14"/>
  <c r="D20" i="14" s="1"/>
  <c r="D21" i="14" s="1"/>
  <c r="D22" i="14" s="1"/>
  <c r="D23" i="14" s="1"/>
  <c r="D24" i="14" s="1"/>
  <c r="D25" i="14" s="1"/>
  <c r="D11" i="4"/>
  <c r="D12" i="4" s="1"/>
  <c r="E12" i="10"/>
  <c r="J47" i="7"/>
  <c r="K47" i="7"/>
  <c r="C12" i="10"/>
  <c r="C20" i="1"/>
  <c r="C16" i="1"/>
  <c r="C39" i="1" s="1"/>
  <c r="F8" i="10"/>
  <c r="F7" i="10"/>
  <c r="E10" i="9"/>
  <c r="E7" i="9"/>
  <c r="C9" i="1"/>
  <c r="D6" i="10" l="1"/>
  <c r="D12" i="10" s="1"/>
  <c r="D13" i="10" s="1"/>
  <c r="D14" i="10" s="1"/>
  <c r="C8" i="2"/>
  <c r="E19" i="18"/>
  <c r="E46" i="7"/>
  <c r="F19" i="18"/>
  <c r="F46" i="7"/>
  <c r="F12" i="10"/>
  <c r="E13" i="11" s="1"/>
  <c r="D10" i="18"/>
  <c r="C7" i="15"/>
  <c r="D26" i="14"/>
  <c r="E11" i="9"/>
  <c r="E13" i="9" s="1"/>
  <c r="E10" i="18"/>
  <c r="B10" i="13"/>
  <c r="C13" i="10"/>
  <c r="C3" i="15"/>
  <c r="E13" i="10"/>
  <c r="K6" i="12"/>
  <c r="E5" i="12"/>
  <c r="H6" i="12"/>
  <c r="E6" i="12"/>
  <c r="D6" i="12"/>
  <c r="F6" i="12"/>
  <c r="F5" i="12"/>
  <c r="G5" i="12"/>
  <c r="I6" i="12"/>
  <c r="C9" i="7" l="1"/>
  <c r="C11" i="7" s="1"/>
  <c r="D9" i="7" s="1"/>
  <c r="F6" i="10"/>
  <c r="F9" i="10" s="1"/>
  <c r="C10" i="7"/>
  <c r="C29" i="4"/>
  <c r="C4" i="2"/>
  <c r="C6" i="2" s="1"/>
  <c r="F13" i="10"/>
  <c r="E11" i="4"/>
  <c r="E12" i="4" s="1"/>
  <c r="D27" i="14"/>
  <c r="E14" i="9"/>
  <c r="F3" i="15"/>
  <c r="F10" i="18"/>
  <c r="C14" i="10"/>
  <c r="F14" i="10" s="1"/>
  <c r="C10" i="13"/>
  <c r="D29" i="4"/>
  <c r="D10" i="7"/>
  <c r="E3" i="15"/>
  <c r="D3" i="15"/>
  <c r="E14" i="10"/>
  <c r="H5" i="12"/>
  <c r="J5" i="12"/>
  <c r="C6" i="12"/>
  <c r="J6" i="12"/>
  <c r="D5" i="12"/>
  <c r="I5" i="12"/>
  <c r="C5" i="12"/>
  <c r="G6" i="12"/>
  <c r="K5" i="12"/>
  <c r="D15" i="10"/>
  <c r="D16" i="10" s="1"/>
  <c r="D17" i="10" s="1"/>
  <c r="B7" i="18" l="1"/>
  <c r="B26" i="18" s="1"/>
  <c r="B27" i="18" s="1"/>
  <c r="B6" i="18"/>
  <c r="D4" i="14"/>
  <c r="D28" i="14"/>
  <c r="D29" i="14" s="1"/>
  <c r="D30" i="14" s="1"/>
  <c r="D31" i="14" s="1"/>
  <c r="D32" i="14" s="1"/>
  <c r="D33" i="14" s="1"/>
  <c r="D34" i="14" s="1"/>
  <c r="D35" i="14" s="1"/>
  <c r="E16" i="9"/>
  <c r="C14" i="4"/>
  <c r="C17" i="7"/>
  <c r="B5" i="18" s="1"/>
  <c r="C39" i="7"/>
  <c r="F11" i="4"/>
  <c r="F12" i="4" s="1"/>
  <c r="G10" i="18"/>
  <c r="D11" i="7"/>
  <c r="D39" i="7" s="1"/>
  <c r="E29" i="4"/>
  <c r="E10" i="7"/>
  <c r="D10" i="13"/>
  <c r="C15" i="10"/>
  <c r="E15" i="10"/>
  <c r="D18" i="10"/>
  <c r="B14" i="18" l="1"/>
  <c r="B20" i="18" s="1"/>
  <c r="C4" i="18" s="1"/>
  <c r="C24" i="18" s="1"/>
  <c r="C25" i="18" s="1"/>
  <c r="D14" i="4"/>
  <c r="D16" i="4" s="1"/>
  <c r="C16" i="4"/>
  <c r="G46" i="7"/>
  <c r="C9" i="14"/>
  <c r="E9" i="14" s="1"/>
  <c r="C10" i="14"/>
  <c r="E10" i="14" s="1"/>
  <c r="C11" i="14"/>
  <c r="D36" i="14"/>
  <c r="C23" i="7"/>
  <c r="B24" i="18"/>
  <c r="F15" i="10"/>
  <c r="G11" i="4"/>
  <c r="G12" i="4" s="1"/>
  <c r="G19" i="18"/>
  <c r="F8" i="18"/>
  <c r="H10" i="18"/>
  <c r="G3" i="15"/>
  <c r="E9" i="7"/>
  <c r="E11" i="7" s="1"/>
  <c r="E39" i="7" s="1"/>
  <c r="F10" i="7"/>
  <c r="E10" i="13"/>
  <c r="F29" i="4"/>
  <c r="C16" i="10"/>
  <c r="C17" i="10" s="1"/>
  <c r="E16" i="10"/>
  <c r="D19" i="10"/>
  <c r="D20" i="10" s="1"/>
  <c r="E11" i="14" l="1"/>
  <c r="C12" i="14"/>
  <c r="E14" i="4"/>
  <c r="E16" i="4" s="1"/>
  <c r="D23" i="7"/>
  <c r="D9" i="18"/>
  <c r="C28" i="7"/>
  <c r="B29" i="18"/>
  <c r="B25" i="18"/>
  <c r="B30" i="18" s="1"/>
  <c r="F16" i="10"/>
  <c r="H11" i="4"/>
  <c r="H12" i="4" s="1"/>
  <c r="G8" i="18"/>
  <c r="I10" i="18"/>
  <c r="H3" i="15"/>
  <c r="F9" i="7"/>
  <c r="F11" i="7" s="1"/>
  <c r="F39" i="7" s="1"/>
  <c r="G10" i="7"/>
  <c r="F10" i="13"/>
  <c r="G29" i="4"/>
  <c r="C18" i="10"/>
  <c r="E17" i="10"/>
  <c r="H29" i="4" s="1"/>
  <c r="E12" i="14" l="1"/>
  <c r="E17" i="11" s="1"/>
  <c r="E18" i="11" s="1"/>
  <c r="E30" i="11" s="1"/>
  <c r="E32" i="11" s="1"/>
  <c r="C13" i="14"/>
  <c r="D11" i="18"/>
  <c r="E9" i="18"/>
  <c r="D28" i="7"/>
  <c r="F14" i="4"/>
  <c r="F16" i="4" s="1"/>
  <c r="E23" i="7"/>
  <c r="E11" i="18" s="1"/>
  <c r="H46" i="7"/>
  <c r="H19" i="18"/>
  <c r="D18" i="4"/>
  <c r="D20" i="4" s="1"/>
  <c r="D48" i="7" s="1"/>
  <c r="F17" i="10"/>
  <c r="E18" i="4"/>
  <c r="I11" i="4"/>
  <c r="I12" i="4" s="1"/>
  <c r="H8" i="18"/>
  <c r="J10" i="18"/>
  <c r="I3" i="15"/>
  <c r="G9" i="7"/>
  <c r="G11" i="7" s="1"/>
  <c r="H10" i="7"/>
  <c r="G10" i="13"/>
  <c r="C19" i="10"/>
  <c r="E18" i="10"/>
  <c r="E19" i="10" s="1"/>
  <c r="C34" i="11" l="1"/>
  <c r="C37" i="11" s="1"/>
  <c r="C40" i="11" s="1"/>
  <c r="C33" i="11"/>
  <c r="C36" i="11" s="1"/>
  <c r="C39" i="11" s="1"/>
  <c r="C23" i="4"/>
  <c r="C25" i="4" s="1"/>
  <c r="C13" i="18" s="1"/>
  <c r="E13" i="14"/>
  <c r="C21" i="7"/>
  <c r="C14" i="14"/>
  <c r="F9" i="18"/>
  <c r="E28" i="7"/>
  <c r="G14" i="4"/>
  <c r="G16" i="4" s="1"/>
  <c r="F23" i="7"/>
  <c r="F18" i="4"/>
  <c r="I46" i="7"/>
  <c r="C4" i="20"/>
  <c r="C5" i="20" s="1"/>
  <c r="C6" i="20" s="1"/>
  <c r="F18" i="10"/>
  <c r="E20" i="4"/>
  <c r="E48" i="7" s="1"/>
  <c r="D4" i="20"/>
  <c r="C20" i="10"/>
  <c r="F19" i="10"/>
  <c r="J11" i="4"/>
  <c r="J12" i="4" s="1"/>
  <c r="K11" i="4"/>
  <c r="K12" i="4" s="1"/>
  <c r="I8" i="18"/>
  <c r="K10" i="18"/>
  <c r="G39" i="7"/>
  <c r="H9" i="7"/>
  <c r="H11" i="7" s="1"/>
  <c r="I10" i="7"/>
  <c r="I29" i="4"/>
  <c r="H10" i="13"/>
  <c r="I10" i="13"/>
  <c r="J10" i="7"/>
  <c r="J29" i="4"/>
  <c r="E20" i="10"/>
  <c r="F11" i="18" l="1"/>
  <c r="C45" i="7"/>
  <c r="C47" i="7" s="1"/>
  <c r="C40" i="7"/>
  <c r="C41" i="7" s="1"/>
  <c r="C33" i="7"/>
  <c r="E14" i="14"/>
  <c r="C15" i="14"/>
  <c r="G9" i="18"/>
  <c r="F28" i="7"/>
  <c r="H14" i="4"/>
  <c r="H16" i="4" s="1"/>
  <c r="G23" i="7"/>
  <c r="G11" i="18" s="1"/>
  <c r="F20" i="10"/>
  <c r="F20" i="4"/>
  <c r="F48" i="7" s="1"/>
  <c r="E4" i="20"/>
  <c r="E5" i="20" s="1"/>
  <c r="E6" i="20" s="1"/>
  <c r="D5" i="20"/>
  <c r="D6" i="20" s="1"/>
  <c r="K29" i="4"/>
  <c r="J10" i="13"/>
  <c r="G18" i="4"/>
  <c r="F4" i="20" s="1"/>
  <c r="F5" i="20" s="1"/>
  <c r="F6" i="20" s="1"/>
  <c r="J8" i="18"/>
  <c r="K8" i="18"/>
  <c r="H39" i="7"/>
  <c r="I9" i="7"/>
  <c r="I11" i="7" s="1"/>
  <c r="J9" i="7" s="1"/>
  <c r="J11" i="7" s="1"/>
  <c r="K10" i="7"/>
  <c r="E15" i="14" l="1"/>
  <c r="C16" i="14"/>
  <c r="H9" i="18"/>
  <c r="G28" i="7"/>
  <c r="I14" i="4"/>
  <c r="I16" i="4" s="1"/>
  <c r="H23" i="7"/>
  <c r="H11" i="18" s="1"/>
  <c r="H18" i="4"/>
  <c r="G4" i="20" s="1"/>
  <c r="G5" i="20" s="1"/>
  <c r="G6" i="20" s="1"/>
  <c r="I39" i="7"/>
  <c r="J39" i="7"/>
  <c r="K9" i="7"/>
  <c r="K11" i="7" s="1"/>
  <c r="K39" i="7" s="1"/>
  <c r="G20" i="4"/>
  <c r="G48" i="7" s="1"/>
  <c r="E16" i="14" l="1"/>
  <c r="D23" i="4" s="1"/>
  <c r="D25" i="4" s="1"/>
  <c r="C17" i="14"/>
  <c r="I9" i="18"/>
  <c r="H28" i="7"/>
  <c r="J14" i="4"/>
  <c r="J16" i="4" s="1"/>
  <c r="I23" i="7"/>
  <c r="I11" i="18" s="1"/>
  <c r="I18" i="4"/>
  <c r="H4" i="20" s="1"/>
  <c r="H5" i="20" s="1"/>
  <c r="H6" i="20" s="1"/>
  <c r="I19" i="18"/>
  <c r="E17" i="14" l="1"/>
  <c r="D21" i="7"/>
  <c r="C18" i="14"/>
  <c r="D13" i="18"/>
  <c r="D45" i="7"/>
  <c r="D47" i="7" s="1"/>
  <c r="D49" i="7" s="1"/>
  <c r="D27" i="4"/>
  <c r="J9" i="18"/>
  <c r="I28" i="7"/>
  <c r="K14" i="4"/>
  <c r="K16" i="4" s="1"/>
  <c r="J23" i="7"/>
  <c r="J11" i="18" s="1"/>
  <c r="J18" i="4"/>
  <c r="I4" i="20" s="1"/>
  <c r="I5" i="20" s="1"/>
  <c r="I6" i="20" s="1"/>
  <c r="H20" i="4"/>
  <c r="H48" i="7" s="1"/>
  <c r="D30" i="4" l="1"/>
  <c r="C7" i="13"/>
  <c r="C9" i="13" s="1"/>
  <c r="C11" i="13" s="1"/>
  <c r="C13" i="13" s="1"/>
  <c r="C14" i="13" s="1"/>
  <c r="D31" i="4" s="1"/>
  <c r="D15" i="18" s="1"/>
  <c r="E18" i="14"/>
  <c r="C19" i="14"/>
  <c r="D33" i="7"/>
  <c r="D40" i="7"/>
  <c r="D41" i="7" s="1"/>
  <c r="K9" i="18"/>
  <c r="J28" i="7"/>
  <c r="K23" i="7"/>
  <c r="K28" i="7" s="1"/>
  <c r="E19" i="14" l="1"/>
  <c r="C20" i="14"/>
  <c r="C7" i="20"/>
  <c r="D32" i="4"/>
  <c r="D33" i="4" s="1"/>
  <c r="K11" i="18"/>
  <c r="K18" i="4"/>
  <c r="J4" i="20" s="1"/>
  <c r="J5" i="20" s="1"/>
  <c r="J6" i="20" s="1"/>
  <c r="I20" i="4"/>
  <c r="I48" i="7" s="1"/>
  <c r="D17" i="18" l="1"/>
  <c r="D26" i="18" s="1"/>
  <c r="D27" i="18" s="1"/>
  <c r="C8" i="20"/>
  <c r="E20" i="14"/>
  <c r="E23" i="4" s="1"/>
  <c r="E25" i="4" s="1"/>
  <c r="C21" i="14"/>
  <c r="D34" i="4" l="1"/>
  <c r="D18" i="7" s="1"/>
  <c r="E27" i="4"/>
  <c r="E45" i="7"/>
  <c r="E47" i="7" s="1"/>
  <c r="E49" i="7" s="1"/>
  <c r="E13" i="18"/>
  <c r="E21" i="14"/>
  <c r="C22" i="14"/>
  <c r="E21" i="7"/>
  <c r="E33" i="7" l="1"/>
  <c r="E40" i="7"/>
  <c r="E41" i="7" s="1"/>
  <c r="E22" i="14"/>
  <c r="C23" i="14"/>
  <c r="E30" i="4"/>
  <c r="D7" i="13"/>
  <c r="D9" i="13" s="1"/>
  <c r="D11" i="13" s="1"/>
  <c r="D13" i="13" s="1"/>
  <c r="D14" i="13" s="1"/>
  <c r="E31" i="4" s="1"/>
  <c r="E15" i="18" s="1"/>
  <c r="J20" i="4"/>
  <c r="J3" i="15"/>
  <c r="K3" i="15"/>
  <c r="D7" i="20" l="1"/>
  <c r="E32" i="4"/>
  <c r="E33" i="4" s="1"/>
  <c r="E23" i="14"/>
  <c r="C24" i="14"/>
  <c r="J27" i="4"/>
  <c r="J30" i="4" s="1"/>
  <c r="J48" i="7"/>
  <c r="K20" i="4"/>
  <c r="E24" i="14" l="1"/>
  <c r="F23" i="4" s="1"/>
  <c r="F25" i="4" s="1"/>
  <c r="C25" i="14"/>
  <c r="E17" i="18"/>
  <c r="E26" i="18" s="1"/>
  <c r="E27" i="18" s="1"/>
  <c r="D8" i="20"/>
  <c r="I7" i="20"/>
  <c r="I7" i="13"/>
  <c r="I9" i="13" s="1"/>
  <c r="I11" i="13" s="1"/>
  <c r="I13" i="13" s="1"/>
  <c r="I14" i="13" s="1"/>
  <c r="J31" i="4" s="1"/>
  <c r="J15" i="18" s="1"/>
  <c r="K27" i="4"/>
  <c r="K30" i="4" s="1"/>
  <c r="K48" i="7"/>
  <c r="E34" i="4" l="1"/>
  <c r="E18" i="7" s="1"/>
  <c r="F45" i="7"/>
  <c r="F47" i="7" s="1"/>
  <c r="F49" i="7" s="1"/>
  <c r="F27" i="4"/>
  <c r="F13" i="18"/>
  <c r="E25" i="14"/>
  <c r="F21" i="7"/>
  <c r="C26" i="14"/>
  <c r="J7" i="20"/>
  <c r="J32" i="4"/>
  <c r="J33" i="4" s="1"/>
  <c r="J7" i="13"/>
  <c r="J9" i="13" s="1"/>
  <c r="J11" i="13" s="1"/>
  <c r="J13" i="13" s="1"/>
  <c r="J14" i="13" s="1"/>
  <c r="K31" i="4" s="1"/>
  <c r="E26" i="14" l="1"/>
  <c r="C27" i="14"/>
  <c r="F33" i="7"/>
  <c r="F40" i="7"/>
  <c r="F41" i="7" s="1"/>
  <c r="F30" i="4"/>
  <c r="E7" i="13"/>
  <c r="E9" i="13" s="1"/>
  <c r="E11" i="13" s="1"/>
  <c r="E13" i="13" s="1"/>
  <c r="E14" i="13" s="1"/>
  <c r="F31" i="4" s="1"/>
  <c r="F15" i="18" s="1"/>
  <c r="J34" i="4"/>
  <c r="J18" i="7" s="1"/>
  <c r="I8" i="20"/>
  <c r="K32" i="4"/>
  <c r="K33" i="4" s="1"/>
  <c r="K15" i="18"/>
  <c r="C28" i="14" l="1"/>
  <c r="E27" i="14"/>
  <c r="E7" i="20"/>
  <c r="F32" i="4"/>
  <c r="F33" i="4" s="1"/>
  <c r="J17" i="18"/>
  <c r="J26" i="18" s="1"/>
  <c r="K34" i="4"/>
  <c r="K18" i="7" s="1"/>
  <c r="J8" i="20"/>
  <c r="F17" i="18" l="1"/>
  <c r="F26" i="18" s="1"/>
  <c r="F27" i="18" s="1"/>
  <c r="E8" i="20"/>
  <c r="C29" i="14"/>
  <c r="E28" i="14"/>
  <c r="G23" i="4" s="1"/>
  <c r="G25" i="4" s="1"/>
  <c r="G21" i="7"/>
  <c r="J27" i="18"/>
  <c r="K17" i="18"/>
  <c r="K26" i="18" s="1"/>
  <c r="F34" i="4" l="1"/>
  <c r="F18" i="7" s="1"/>
  <c r="G40" i="7"/>
  <c r="G41" i="7" s="1"/>
  <c r="G33" i="7"/>
  <c r="C30" i="14"/>
  <c r="E29" i="14"/>
  <c r="G13" i="18"/>
  <c r="G45" i="7"/>
  <c r="G47" i="7" s="1"/>
  <c r="G49" i="7" s="1"/>
  <c r="G27" i="4"/>
  <c r="K27" i="18"/>
  <c r="G30" i="4" l="1"/>
  <c r="F7" i="13"/>
  <c r="F9" i="13" s="1"/>
  <c r="F11" i="13" s="1"/>
  <c r="F13" i="13" s="1"/>
  <c r="F14" i="13" s="1"/>
  <c r="G31" i="4" s="1"/>
  <c r="G15" i="18" s="1"/>
  <c r="E30" i="14"/>
  <c r="C31" i="14"/>
  <c r="C32" i="14" l="1"/>
  <c r="E31" i="14"/>
  <c r="F7" i="20"/>
  <c r="G32" i="4"/>
  <c r="G33" i="4" s="1"/>
  <c r="G17" i="18" l="1"/>
  <c r="G26" i="18" s="1"/>
  <c r="G27" i="18" s="1"/>
  <c r="F8" i="20"/>
  <c r="C33" i="14"/>
  <c r="E32" i="14"/>
  <c r="H23" i="4" s="1"/>
  <c r="H25" i="4" s="1"/>
  <c r="H21" i="7"/>
  <c r="G34" i="4" l="1"/>
  <c r="G18" i="7" s="1"/>
  <c r="H45" i="7"/>
  <c r="H47" i="7" s="1"/>
  <c r="H49" i="7" s="1"/>
  <c r="H27" i="4"/>
  <c r="H13" i="18"/>
  <c r="H33" i="7"/>
  <c r="H40" i="7"/>
  <c r="F42" i="7" s="1"/>
  <c r="E33" i="14"/>
  <c r="C34" i="14"/>
  <c r="C35" i="14" l="1"/>
  <c r="E34" i="14"/>
  <c r="H30" i="4"/>
  <c r="G7" i="13"/>
  <c r="G9" i="13" s="1"/>
  <c r="G11" i="13" s="1"/>
  <c r="G13" i="13" s="1"/>
  <c r="G14" i="13" s="1"/>
  <c r="H31" i="4" s="1"/>
  <c r="H15" i="18" s="1"/>
  <c r="G7" i="20" l="1"/>
  <c r="H32" i="4"/>
  <c r="H33" i="4" s="1"/>
  <c r="C36" i="14"/>
  <c r="E36" i="14" s="1"/>
  <c r="E35" i="14"/>
  <c r="I23" i="4" l="1"/>
  <c r="I25" i="4" s="1"/>
  <c r="I45" i="7" s="1"/>
  <c r="I47" i="7" s="1"/>
  <c r="H17" i="18"/>
  <c r="H26" i="18" s="1"/>
  <c r="H27" i="18" s="1"/>
  <c r="G8" i="20"/>
  <c r="I13" i="18" l="1"/>
  <c r="I27" i="4"/>
  <c r="I30" i="4" s="1"/>
  <c r="H34" i="4"/>
  <c r="H18" i="7" s="1"/>
  <c r="H7" i="13"/>
  <c r="H9" i="13" s="1"/>
  <c r="H11" i="13" s="1"/>
  <c r="H13" i="13" s="1"/>
  <c r="H14" i="13" s="1"/>
  <c r="I31" i="4" s="1"/>
  <c r="I15" i="18" s="1"/>
  <c r="H7" i="20" l="1"/>
  <c r="I32" i="4"/>
  <c r="I33" i="4" s="1"/>
  <c r="H8" i="20" l="1"/>
  <c r="C11" i="4"/>
  <c r="I17" i="18" l="1"/>
  <c r="I26" i="18" s="1"/>
  <c r="I27" i="18" s="1"/>
  <c r="I34" i="4"/>
  <c r="I18" i="7" s="1"/>
  <c r="C11" i="18"/>
  <c r="C14" i="18" s="1"/>
  <c r="C12" i="4"/>
  <c r="C18" i="4" s="1"/>
  <c r="C20" i="4" l="1"/>
  <c r="B4" i="20"/>
  <c r="B5" i="20" s="1"/>
  <c r="B6" i="20" s="1"/>
  <c r="C48" i="7" l="1"/>
  <c r="C49" i="7" s="1"/>
  <c r="F50" i="7" s="1"/>
  <c r="C27" i="4"/>
  <c r="C30" i="4" s="1"/>
  <c r="B7" i="13" l="1"/>
  <c r="B9" i="13" s="1"/>
  <c r="B11" i="13" s="1"/>
  <c r="B13" i="13" s="1"/>
  <c r="B14" i="13" s="1"/>
  <c r="C31" i="4" s="1"/>
  <c r="C15" i="18" s="1"/>
  <c r="C16" i="18" l="1"/>
  <c r="C32" i="4"/>
  <c r="C33" i="4" s="1"/>
  <c r="B7" i="20"/>
  <c r="B8" i="20" l="1"/>
  <c r="C17" i="18" l="1"/>
  <c r="C26" i="18" s="1"/>
  <c r="C34" i="4"/>
  <c r="C18" i="7" s="1"/>
  <c r="C20" i="7" s="1"/>
  <c r="C34" i="7" l="1"/>
  <c r="C35" i="7" s="1"/>
  <c r="C24" i="7"/>
  <c r="D17" i="7"/>
  <c r="D20" i="7" s="1"/>
  <c r="C18" i="18"/>
  <c r="C20" i="18" s="1"/>
  <c r="C13" i="7" s="1"/>
  <c r="D4" i="18" l="1"/>
  <c r="D14" i="18" s="1"/>
  <c r="C29" i="18"/>
  <c r="C30" i="18" s="1"/>
  <c r="C27" i="18"/>
  <c r="E17" i="7"/>
  <c r="E20" i="7" s="1"/>
  <c r="D24" i="7"/>
  <c r="D34" i="7"/>
  <c r="D35" i="7" s="1"/>
  <c r="E34" i="7" l="1"/>
  <c r="E35" i="7" s="1"/>
  <c r="F17" i="7"/>
  <c r="F20" i="7" s="1"/>
  <c r="E24" i="7"/>
  <c r="D24" i="18"/>
  <c r="D16" i="18"/>
  <c r="D18" i="18" s="1"/>
  <c r="D20" i="18" s="1"/>
  <c r="C14" i="7"/>
  <c r="C27" i="7"/>
  <c r="C29" i="7" s="1"/>
  <c r="E4" i="18" l="1"/>
  <c r="E14" i="18" s="1"/>
  <c r="D13" i="7"/>
  <c r="D29" i="18"/>
  <c r="D30" i="18" s="1"/>
  <c r="D25" i="18"/>
  <c r="F34" i="7"/>
  <c r="F35" i="7" s="1"/>
  <c r="F24" i="7"/>
  <c r="G17" i="7"/>
  <c r="G20" i="7" s="1"/>
  <c r="G34" i="7" l="1"/>
  <c r="G35" i="7" s="1"/>
  <c r="G24" i="7"/>
  <c r="H17" i="7"/>
  <c r="H20" i="7" s="1"/>
  <c r="D27" i="7"/>
  <c r="D29" i="7" s="1"/>
  <c r="D14" i="7"/>
  <c r="E16" i="18"/>
  <c r="E18" i="18" s="1"/>
  <c r="E20" i="18" s="1"/>
  <c r="E24" i="18"/>
  <c r="E13" i="7" l="1"/>
  <c r="F4" i="18"/>
  <c r="F14" i="18" s="1"/>
  <c r="E25" i="18"/>
  <c r="E29" i="18"/>
  <c r="E30" i="18" s="1"/>
  <c r="I17" i="7"/>
  <c r="I20" i="7" s="1"/>
  <c r="H24" i="7"/>
  <c r="H34" i="7"/>
  <c r="H35" i="7" s="1"/>
  <c r="J17" i="7" l="1"/>
  <c r="J20" i="7" s="1"/>
  <c r="I34" i="7"/>
  <c r="I35" i="7" s="1"/>
  <c r="I24" i="7"/>
  <c r="F24" i="18"/>
  <c r="F16" i="18"/>
  <c r="F18" i="18" s="1"/>
  <c r="F20" i="18" s="1"/>
  <c r="E27" i="7"/>
  <c r="E29" i="7" s="1"/>
  <c r="E14" i="7"/>
  <c r="F13" i="7" l="1"/>
  <c r="G4" i="18"/>
  <c r="G14" i="18" s="1"/>
  <c r="F29" i="18"/>
  <c r="F30" i="18" s="1"/>
  <c r="F25" i="18"/>
  <c r="J24" i="7"/>
  <c r="K17" i="7"/>
  <c r="K20" i="7" s="1"/>
  <c r="J34" i="7"/>
  <c r="J35" i="7" s="1"/>
  <c r="K34" i="7" l="1"/>
  <c r="K35" i="7" s="1"/>
  <c r="F36" i="7" s="1"/>
  <c r="K24" i="7"/>
  <c r="G16" i="18"/>
  <c r="G18" i="18" s="1"/>
  <c r="G20" i="18" s="1"/>
  <c r="G24" i="18"/>
  <c r="F14" i="7"/>
  <c r="F27" i="7"/>
  <c r="F29" i="7" s="1"/>
  <c r="G29" i="18" l="1"/>
  <c r="G30" i="18" s="1"/>
  <c r="G25" i="18"/>
  <c r="H4" i="18"/>
  <c r="H14" i="18" s="1"/>
  <c r="G13" i="7"/>
  <c r="G27" i="7" l="1"/>
  <c r="G29" i="7" s="1"/>
  <c r="G14" i="7"/>
  <c r="H24" i="18"/>
  <c r="H16" i="18"/>
  <c r="H18" i="18" s="1"/>
  <c r="H20" i="18" s="1"/>
  <c r="H25" i="18" l="1"/>
  <c r="H29" i="18"/>
  <c r="H30" i="18" s="1"/>
  <c r="I4" i="18"/>
  <c r="I14" i="18" s="1"/>
  <c r="H13" i="7"/>
  <c r="H14" i="7" l="1"/>
  <c r="H27" i="7"/>
  <c r="H29" i="7" s="1"/>
  <c r="I24" i="18"/>
  <c r="I16" i="18"/>
  <c r="I18" i="18" s="1"/>
  <c r="I20" i="18" s="1"/>
  <c r="J4" i="18" l="1"/>
  <c r="J14" i="18" s="1"/>
  <c r="I13" i="7"/>
  <c r="I25" i="18"/>
  <c r="I29" i="18"/>
  <c r="I30" i="18" s="1"/>
  <c r="I14" i="7" l="1"/>
  <c r="I27" i="7"/>
  <c r="I29" i="7" s="1"/>
  <c r="J24" i="18"/>
  <c r="J16" i="18"/>
  <c r="J18" i="18" s="1"/>
  <c r="J20" i="18" s="1"/>
  <c r="K4" i="18" l="1"/>
  <c r="K14" i="18" s="1"/>
  <c r="J13" i="7"/>
  <c r="J29" i="18"/>
  <c r="J30" i="18" s="1"/>
  <c r="J25" i="18"/>
  <c r="J14" i="7" l="1"/>
  <c r="J27" i="7"/>
  <c r="J29" i="7" s="1"/>
  <c r="K24" i="18"/>
  <c r="K16" i="18"/>
  <c r="K18" i="18" s="1"/>
  <c r="K20" i="18" s="1"/>
  <c r="K13" i="7" s="1"/>
  <c r="K27" i="7" l="1"/>
  <c r="K29" i="7" s="1"/>
  <c r="F30" i="7" s="1"/>
  <c r="K14" i="7"/>
  <c r="K29" i="18"/>
  <c r="K30" i="18" s="1"/>
  <c r="L30" i="18" s="1"/>
  <c r="K25" i="18"/>
</calcChain>
</file>

<file path=xl/sharedStrings.xml><?xml version="1.0" encoding="utf-8"?>
<sst xmlns="http://schemas.openxmlformats.org/spreadsheetml/2006/main" count="427" uniqueCount="315">
  <si>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</si>
  <si>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</si>
  <si>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</si>
  <si>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</si>
  <si>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</si>
  <si>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</si>
  <si>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</si>
  <si>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</si>
  <si>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</si>
  <si>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</si>
  <si>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</si>
  <si>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</si>
  <si>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</si>
  <si>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</si>
  <si>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</si>
  <si>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</si>
  <si>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</si>
  <si>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</si>
  <si>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</si>
  <si>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</si>
  <si>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</si>
  <si>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</si>
  <si>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</si>
  <si>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</si>
  <si>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</si>
  <si>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</si>
  <si>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</si>
  <si>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</si>
  <si>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</si>
  <si>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</si>
  <si>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</si>
  <si>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</si>
  <si>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</si>
  <si>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</si>
  <si>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</si>
  <si>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</si>
  <si>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</si>
  <si>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</si>
  <si>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</si>
  <si>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</si>
  <si>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</si>
  <si>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</si>
  <si>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</si>
  <si>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</si>
  <si>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</si>
  <si>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</si>
  <si>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</si>
  <si>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</si>
  <si>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</si>
  <si>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</si>
  <si>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</si>
  <si>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</si>
  <si>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</si>
  <si>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</si>
  <si>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</si>
  <si>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</si>
  <si>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</si>
  <si>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</si>
  <si>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</si>
  <si>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</si>
  <si>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</si>
  <si>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</si>
  <si>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</si>
  <si>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</si>
  <si>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</si>
  <si>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</si>
  <si>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</si>
  <si>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</si>
  <si>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</si>
  <si>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</si>
  <si>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</si>
  <si>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</si>
  <si>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</si>
  <si>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</si>
  <si>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</si>
  <si>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</si>
  <si>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</si>
  <si>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</si>
  <si>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</si>
  <si>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</si>
  <si>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</si>
  <si>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</si>
  <si>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</si>
  <si>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</si>
  <si>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</si>
  <si>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</si>
  <si>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</si>
  <si>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</si>
  <si>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</si>
  <si>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</si>
  <si>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</si>
  <si>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</si>
  <si>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</si>
  <si>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</si>
  <si>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</si>
  <si>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</si>
  <si>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</si>
  <si>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</si>
  <si>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</si>
  <si>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</si>
  <si>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</si>
  <si>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</si>
  <si>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</si>
  <si>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</si>
  <si>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</si>
  <si>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</si>
  <si>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</si>
  <si>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</si>
  <si>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</si>
  <si>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</si>
  <si>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</si>
  <si>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</si>
  <si>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</si>
  <si>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</si>
  <si>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</si>
  <si>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</si>
  <si>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</si>
  <si>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</si>
  <si>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</si>
  <si>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</si>
  <si>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</si>
  <si>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</si>
  <si>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</si>
  <si>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</si>
  <si>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</si>
  <si>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</si>
  <si>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</si>
  <si>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</si>
  <si>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</si>
  <si>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</si>
  <si>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</si>
  <si>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</si>
  <si>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</si>
  <si>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</si>
  <si>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</si>
  <si>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</si>
  <si>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</si>
  <si>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</si>
  <si>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</si>
  <si>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</si>
  <si>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</si>
  <si>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</si>
  <si>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</si>
  <si>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</si>
  <si>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</si>
  <si>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</si>
  <si>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</si>
  <si>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</si>
  <si>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</si>
  <si>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</si>
  <si>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</si>
  <si>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</si>
  <si>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</si>
  <si>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</si>
  <si>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</si>
  <si>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</si>
  <si>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Details of Manpower</t>
  </si>
  <si>
    <t>Security</t>
  </si>
  <si>
    <t>Creditors</t>
  </si>
  <si>
    <t>Total manpower</t>
  </si>
  <si>
    <t>opening balance</t>
  </si>
  <si>
    <t>Add: Sales realizations</t>
  </si>
  <si>
    <t>Less: Interest payments</t>
  </si>
  <si>
    <t>Working capital</t>
  </si>
  <si>
    <t>Interest on WC Loan</t>
  </si>
  <si>
    <t>Site Development</t>
  </si>
  <si>
    <t>Sales Budget</t>
  </si>
  <si>
    <t>Production budget</t>
  </si>
  <si>
    <t>Products</t>
  </si>
  <si>
    <t>Production at 100% capacity</t>
  </si>
  <si>
    <t>Electricity expense</t>
  </si>
  <si>
    <t>Usage in units</t>
  </si>
  <si>
    <t>Cost of Production</t>
  </si>
  <si>
    <t>Sub Total</t>
  </si>
  <si>
    <t>Total depreciation for the year</t>
  </si>
  <si>
    <t>Preliminary Expense</t>
  </si>
  <si>
    <t>Cash flow statement</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</si>
  <si>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</si>
  <si>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</si>
  <si>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</si>
  <si>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</si>
  <si>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</si>
  <si>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</si>
  <si>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</si>
  <si>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</si>
  <si>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</si>
  <si>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</si>
  <si>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</si>
  <si>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</si>
  <si>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</si>
  <si>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</si>
  <si>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</si>
  <si>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</si>
  <si>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</si>
  <si>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</si>
  <si>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</si>
  <si>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</si>
  <si>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</si>
  <si>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</si>
  <si>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</si>
  <si>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</si>
  <si>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</si>
  <si>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</si>
  <si>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</si>
  <si>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</si>
  <si>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</si>
  <si>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</si>
  <si>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</si>
  <si>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</si>
  <si>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</si>
  <si>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</si>
  <si>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</si>
  <si>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</si>
  <si>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</si>
  <si>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</si>
  <si>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</si>
  <si>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</si>
  <si>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</si>
  <si>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</si>
  <si>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Cash flows'!A1</t>
  </si>
  <si>
    <t>DPR without subsidy</t>
  </si>
  <si>
    <t>iv.</t>
  </si>
  <si>
    <t>Labour/ helper</t>
  </si>
  <si>
    <t>Annual cost</t>
  </si>
  <si>
    <t>1. asssumed that 60 days of purchases are average creditors maintained</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</si>
  <si>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</si>
  <si>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</si>
  <si>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</si>
  <si>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</si>
  <si>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</si>
  <si>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</si>
  <si>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</si>
  <si>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</si>
  <si>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</si>
  <si>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</si>
  <si>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</si>
  <si>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</si>
  <si>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</si>
  <si>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</si>
  <si>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</si>
  <si>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</si>
  <si>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</si>
  <si>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</si>
  <si>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</si>
  <si>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Asssumed that 30 days of purchases are average creditors maintained</t>
  </si>
  <si>
    <t>1. Civil Work</t>
  </si>
  <si>
    <t>Building, steel and wooden work</t>
  </si>
  <si>
    <t>Total Civil Work</t>
  </si>
  <si>
    <t>Estimated ocupational capacity</t>
  </si>
  <si>
    <t>Operational days/ months</t>
  </si>
  <si>
    <t>365 days/ 12 months</t>
  </si>
  <si>
    <t>Less: Pre incorporation expense</t>
  </si>
  <si>
    <t>Electricity fixed charge</t>
  </si>
  <si>
    <t>Add: benefits @ 20%</t>
  </si>
  <si>
    <t>Less: Fixed costs</t>
  </si>
  <si>
    <t>Assumed that 60 days of sales are average debtors maintained by the business</t>
  </si>
  <si>
    <t>It is assumed that insuarance cost is 7% of purchase price and this will increase 5% annually</t>
  </si>
  <si>
    <t>Rs. per kg</t>
  </si>
  <si>
    <t>V.B. Elevator</t>
  </si>
  <si>
    <t>Seed Grader</t>
  </si>
  <si>
    <t>Ducting for SM-II GF</t>
  </si>
  <si>
    <t>Indent Cylinder</t>
  </si>
  <si>
    <t>Motorised bye pass arrangement</t>
  </si>
  <si>
    <t>Gravity Separator</t>
  </si>
  <si>
    <t>Add GST</t>
  </si>
  <si>
    <t>Service Centre Infrastructure</t>
  </si>
  <si>
    <t>Supervisor</t>
  </si>
  <si>
    <t>Accountant (Part time)</t>
  </si>
  <si>
    <t>v.</t>
  </si>
  <si>
    <t>Worker</t>
  </si>
  <si>
    <t>Distribution of profits (80%)</t>
  </si>
  <si>
    <t>Insurance cost @ 2% of purchase cost</t>
  </si>
  <si>
    <t>Grading and cleaning capacity per annum</t>
  </si>
  <si>
    <t>Storage</t>
  </si>
  <si>
    <t>Grading capacity</t>
  </si>
  <si>
    <t>Storage capacity</t>
  </si>
  <si>
    <t>Revenue per kg per/ per month</t>
  </si>
  <si>
    <t>kgs</t>
  </si>
  <si>
    <t>Grading capacity (kgs)</t>
  </si>
  <si>
    <t>Storage capacity (kgs)</t>
  </si>
  <si>
    <t>Grading Revenue</t>
  </si>
  <si>
    <t>Storage Revenue</t>
  </si>
  <si>
    <t>per kg per month</t>
  </si>
  <si>
    <t>per kg</t>
  </si>
  <si>
    <t>Unit</t>
  </si>
  <si>
    <t>Fixed ofice expenses</t>
  </si>
  <si>
    <t>Revenue from grading would increase 10% annually and from storage would increase by 5% annually</t>
  </si>
  <si>
    <t>Annexure 8 - Details of Manpower</t>
  </si>
  <si>
    <t>Fixed office expense</t>
  </si>
  <si>
    <t>Running and maintenance cost</t>
  </si>
  <si>
    <t>Rs. Per month per kg</t>
  </si>
  <si>
    <t>Electricity cost</t>
  </si>
  <si>
    <t>Interest on working capital</t>
  </si>
  <si>
    <t>Contribution %</t>
  </si>
  <si>
    <t>Sales mix</t>
  </si>
  <si>
    <t>Contribution proportionate</t>
  </si>
  <si>
    <t>Running and Manintenance expense @20% of sales</t>
  </si>
  <si>
    <t>BEP in rs.</t>
  </si>
  <si>
    <t>BEP in rs. (Grading)</t>
  </si>
  <si>
    <t>BEP in rs. (Storage)</t>
  </si>
  <si>
    <t>BEP in kgs (Grading)</t>
  </si>
  <si>
    <t>BEP in kgs (Storage)</t>
  </si>
  <si>
    <t>BEP in %</t>
  </si>
  <si>
    <t>BEP in % (Grading)</t>
  </si>
  <si>
    <t>BEP in %(Storage)</t>
  </si>
  <si>
    <t>Total sales at 100% capacity</t>
  </si>
  <si>
    <t>Electricity are semi-fixed cost. Rs. 120,000 pa is fixed, balance is variable at Rs. 10 per unit usage</t>
  </si>
  <si>
    <t>1. Electricity are semi-fixed cost. Rs. 120,000 pa is fixed, balance is variable at Rs. 10 per unit usage</t>
  </si>
  <si>
    <t>2. Electricity usage in units is given below</t>
  </si>
  <si>
    <t>3. It is assumed that insuarance cost is 2% of purchase price and this will increase 5% annually</t>
  </si>
  <si>
    <t>Drying cost (fixed Rs. 5 lakhs)</t>
  </si>
  <si>
    <t>Fixed cost - Drying</t>
  </si>
  <si>
    <t>Break even capacity at maximum capacity utilization</t>
  </si>
  <si>
    <t>Dryer</t>
  </si>
  <si>
    <t>For the first year of operation the break-even capacity comes at 40.19%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</si>
</sst>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00000000_);_(* \(#,##0.000000000\);_(* &quot;-&quot;??_);_(@_)"/>
    <numFmt numFmtId="166" formatCode="0.000"/>
    <numFmt numFmtId="167" formatCode="_(* #,##0.000_);_(* \(#,##0.000\);_(* &quot;-&quot;?_);_(@_)"/>
    <numFmt numFmtId="168" formatCode="_(* #,##0.0000_);_(* \(#,##0.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b/>
      <sz val="11"/>
      <name val="Adobe Devanagari"/>
      <family val="1"/>
    </font>
    <font>
      <sz val="11"/>
      <color theme="0"/>
      <name val="Adobe Devanagari"/>
      <family val="1"/>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39">
    <xf numFmtId="0" fontId="0" fillId="0" borderId="0" xfId="0"/>
    <xf numFmtId="0" fontId="3" fillId="0" borderId="0" xfId="0" applyFont="1"/>
    <xf numFmtId="0" fontId="2" fillId="0" borderId="0" xfId="0" applyFont="1"/>
    <xf numFmtId="0" fontId="0" fillId="0" borderId="0" xfId="0" quotePrefix="1"/>
    <xf numFmtId="43" fontId="0" fillId="0" borderId="0" xfId="1" applyFont="1"/>
    <xf numFmtId="0" fontId="5" fillId="0" borderId="0" xfId="0" applyFont="1"/>
    <xf numFmtId="0" fontId="6" fillId="0" borderId="0" xfId="0" applyFont="1"/>
    <xf numFmtId="0" fontId="5" fillId="0" borderId="1" xfId="0" applyFont="1" applyBorder="1"/>
    <xf numFmtId="0" fontId="6" fillId="0" borderId="1" xfId="0" applyFont="1" applyBorder="1"/>
    <xf numFmtId="0" fontId="7" fillId="0" borderId="1" xfId="3" quotePrefix="1" applyFont="1" applyBorder="1"/>
    <xf numFmtId="0" fontId="7" fillId="0" borderId="1" xfId="3" applyFont="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0" fontId="6" fillId="0" borderId="12" xfId="0" applyFont="1" applyBorder="1"/>
    <xf numFmtId="0" fontId="6" fillId="0" borderId="0" xfId="0" applyFont="1" applyAlignment="1">
      <alignment horizontal="left"/>
    </xf>
    <xf numFmtId="0" fontId="6" fillId="0" borderId="1" xfId="0" applyFont="1" applyFill="1" applyBorder="1"/>
    <xf numFmtId="0" fontId="8" fillId="0" borderId="0" xfId="0" applyFont="1" applyFill="1" applyBorder="1"/>
    <xf numFmtId="0" fontId="6" fillId="0" borderId="0" xfId="0" applyFont="1" applyFill="1" applyBorder="1"/>
    <xf numFmtId="0" fontId="5" fillId="0" borderId="12" xfId="0" applyFont="1" applyBorder="1" applyAlignment="1">
      <alignment horizontal="left"/>
    </xf>
    <xf numFmtId="0" fontId="5" fillId="0" borderId="12" xfId="0" applyFont="1" applyBorder="1"/>
    <xf numFmtId="43" fontId="5" fillId="0" borderId="10" xfId="0" applyNumberFormat="1" applyFont="1" applyBorder="1"/>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0" fontId="5" fillId="0" borderId="2" xfId="0" applyFont="1" applyBorder="1"/>
    <xf numFmtId="0" fontId="5" fillId="0" borderId="3" xfId="0" applyFont="1" applyBorder="1"/>
    <xf numFmtId="43" fontId="5" fillId="0" borderId="4" xfId="0" applyNumberFormat="1" applyFont="1" applyBorder="1"/>
    <xf numFmtId="0" fontId="6" fillId="0" borderId="5" xfId="0" applyFont="1" applyBorder="1"/>
    <xf numFmtId="0" fontId="6" fillId="0" borderId="6" xfId="0" applyFont="1" applyBorder="1" applyAlignment="1">
      <alignment horizontal="left" wrapText="1"/>
    </xf>
    <xf numFmtId="0" fontId="6" fillId="0" borderId="6" xfId="0" applyFont="1" applyBorder="1"/>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horizontal="left"/>
    </xf>
    <xf numFmtId="164" fontId="6" fillId="0" borderId="0" xfId="1" applyNumberFormat="1" applyFont="1" applyBorder="1"/>
    <xf numFmtId="164" fontId="6" fillId="0" borderId="9" xfId="1" applyNumberFormat="1" applyFont="1" applyFill="1" applyBorder="1" applyAlignment="1">
      <alignment horizontal="left"/>
    </xf>
    <xf numFmtId="164" fontId="6" fillId="0" borderId="9" xfId="1" applyNumberFormat="1" applyFont="1" applyBorder="1" applyAlignment="1">
      <alignment horizontal="left"/>
    </xf>
    <xf numFmtId="164" fontId="5" fillId="0" borderId="4" xfId="0" applyNumberFormat="1" applyFont="1" applyBorder="1"/>
    <xf numFmtId="43" fontId="6" fillId="0" borderId="0" xfId="0" applyNumberFormat="1" applyFont="1"/>
    <xf numFmtId="164" fontId="6" fillId="0" borderId="0" xfId="0" applyNumberFormat="1" applyFont="1"/>
    <xf numFmtId="164" fontId="6" fillId="0" borderId="1" xfId="1" applyNumberFormat="1" applyFont="1" applyBorder="1"/>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0" borderId="13" xfId="0" applyFont="1" applyBorder="1"/>
    <xf numFmtId="0" fontId="6" fillId="0" borderId="14" xfId="0" applyFont="1" applyBorder="1"/>
    <xf numFmtId="0" fontId="6" fillId="0" borderId="10" xfId="0" applyFont="1" applyBorder="1"/>
    <xf numFmtId="43" fontId="6" fillId="0" borderId="10" xfId="1" applyFont="1" applyBorder="1"/>
    <xf numFmtId="0" fontId="8" fillId="0" borderId="0" xfId="0" applyFont="1"/>
    <xf numFmtId="164" fontId="6" fillId="0" borderId="1" xfId="0" applyNumberFormat="1"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9" fontId="6" fillId="0" borderId="1" xfId="0"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9" fontId="5" fillId="0" borderId="1" xfId="0" applyNumberFormat="1" applyFont="1" applyBorder="1"/>
    <xf numFmtId="43" fontId="6" fillId="0" borderId="1" xfId="1" applyFont="1" applyBorder="1"/>
    <xf numFmtId="164" fontId="6" fillId="0" borderId="0" xfId="1" applyNumberFormat="1" applyFont="1"/>
    <xf numFmtId="0" fontId="6" fillId="0" borderId="0" xfId="0" quotePrefix="1" applyFont="1"/>
    <xf numFmtId="0" fontId="6" fillId="3" borderId="0" xfId="0" applyFont="1" applyFill="1"/>
    <xf numFmtId="168" fontId="6" fillId="0" borderId="0" xfId="0" applyNumberFormat="1" applyFont="1"/>
    <xf numFmtId="9" fontId="6" fillId="0" borderId="0" xfId="2" applyFont="1"/>
    <xf numFmtId="10" fontId="6" fillId="0" borderId="0" xfId="0" applyNumberFormat="1" applyFont="1"/>
    <xf numFmtId="2" fontId="6" fillId="0" borderId="0" xfId="2" applyNumberFormat="1" applyFont="1"/>
    <xf numFmtId="2" fontId="6" fillId="3" borderId="0" xfId="2" applyNumberFormat="1" applyFont="1" applyFill="1"/>
    <xf numFmtId="2" fontId="6" fillId="3" borderId="0" xfId="0" applyNumberFormat="1" applyFont="1" applyFill="1"/>
    <xf numFmtId="10" fontId="6" fillId="3" borderId="0" xfId="2" applyNumberFormat="1" applyFont="1" applyFill="1"/>
    <xf numFmtId="9" fontId="6" fillId="3" borderId="0" xfId="2" applyFont="1" applyFill="1"/>
    <xf numFmtId="10" fontId="6" fillId="2" borderId="0" xfId="0" applyNumberFormat="1" applyFont="1" applyFill="1"/>
    <xf numFmtId="0" fontId="6" fillId="2" borderId="0" xfId="0" applyFont="1" applyFill="1" applyAlignment="1">
      <alignment horizontal="right"/>
    </xf>
    <xf numFmtId="0" fontId="9" fillId="0" borderId="0" xfId="0" applyFont="1"/>
    <xf numFmtId="0" fontId="6" fillId="0" borderId="1" xfId="0" applyFont="1" applyBorder="1" applyAlignment="1">
      <alignment vertical="top"/>
    </xf>
    <xf numFmtId="0" fontId="6" fillId="0" borderId="1" xfId="0" applyFont="1" applyBorder="1" applyAlignment="1">
      <alignment vertical="top" wrapText="1"/>
    </xf>
    <xf numFmtId="0" fontId="6" fillId="0" borderId="0" xfId="0" applyFont="1" applyAlignment="1">
      <alignment vertical="top"/>
    </xf>
    <xf numFmtId="164" fontId="6" fillId="0" borderId="1" xfId="0" applyNumberFormat="1" applyFont="1" applyBorder="1" applyAlignment="1">
      <alignment vertical="top"/>
    </xf>
    <xf numFmtId="167" fontId="6" fillId="0" borderId="1" xfId="0" applyNumberFormat="1" applyFont="1" applyBorder="1" applyAlignment="1">
      <alignment vertical="top" wrapText="1"/>
    </xf>
    <xf numFmtId="0" fontId="5" fillId="0" borderId="1" xfId="0" applyFont="1" applyBorder="1" applyAlignment="1">
      <alignment vertical="top"/>
    </xf>
    <xf numFmtId="0" fontId="5" fillId="0" borderId="1" xfId="0" applyFont="1" applyBorder="1" applyAlignment="1">
      <alignment vertical="top" wrapText="1"/>
    </xf>
    <xf numFmtId="0" fontId="5" fillId="0" borderId="0" xfId="0" applyFont="1" applyAlignment="1">
      <alignment vertical="top"/>
    </xf>
    <xf numFmtId="0" fontId="10" fillId="0" borderId="0" xfId="0" applyFont="1"/>
    <xf numFmtId="0" fontId="9" fillId="0" borderId="1" xfId="0" applyFont="1" applyBorder="1"/>
    <xf numFmtId="164" fontId="9" fillId="0" borderId="1" xfId="1" applyNumberFormat="1" applyFont="1" applyBorder="1"/>
    <xf numFmtId="164" fontId="11" fillId="0" borderId="0" xfId="1" applyNumberFormat="1" applyFont="1"/>
    <xf numFmtId="10" fontId="11" fillId="0" borderId="0" xfId="1" applyNumberFormat="1" applyFont="1"/>
    <xf numFmtId="0" fontId="11" fillId="0" borderId="0" xfId="0" applyFont="1"/>
    <xf numFmtId="165" fontId="11" fillId="0" borderId="0" xfId="1" applyNumberFormat="1" applyFont="1"/>
    <xf numFmtId="164" fontId="11" fillId="0" borderId="0" xfId="0" applyNumberFormat="1" applyFont="1"/>
    <xf numFmtId="0" fontId="5" fillId="4" borderId="1" xfId="0" applyFont="1" applyFill="1" applyBorder="1"/>
    <xf numFmtId="0" fontId="5" fillId="4" borderId="1" xfId="0" applyFont="1" applyFill="1" applyBorder="1" applyAlignment="1">
      <alignment wrapText="1"/>
    </xf>
    <xf numFmtId="0" fontId="6" fillId="4" borderId="2" xfId="0" applyFont="1" applyFill="1" applyBorder="1"/>
    <xf numFmtId="0" fontId="6" fillId="4" borderId="3" xfId="0" applyFont="1" applyFill="1" applyBorder="1"/>
    <xf numFmtId="0" fontId="6" fillId="4" borderId="4" xfId="0" applyFont="1" applyFill="1" applyBorder="1"/>
    <xf numFmtId="0" fontId="5" fillId="4" borderId="2" xfId="0" applyFont="1" applyFill="1" applyBorder="1"/>
    <xf numFmtId="0" fontId="5" fillId="4" borderId="3" xfId="0" applyFont="1" applyFill="1" applyBorder="1"/>
    <xf numFmtId="0" fontId="5" fillId="4" borderId="4" xfId="0" applyFont="1" applyFill="1" applyBorder="1"/>
    <xf numFmtId="0" fontId="5" fillId="4" borderId="6" xfId="0" applyFont="1" applyFill="1" applyBorder="1"/>
    <xf numFmtId="0" fontId="8" fillId="4" borderId="0" xfId="0" applyFont="1" applyFill="1"/>
    <xf numFmtId="0" fontId="6" fillId="4" borderId="0" xfId="0" applyFont="1" applyFill="1"/>
    <xf numFmtId="0" fontId="5" fillId="4" borderId="0" xfId="0" applyFont="1" applyFill="1"/>
    <xf numFmtId="0" fontId="6" fillId="4" borderId="1" xfId="0" applyFont="1" applyFill="1" applyBorder="1"/>
    <xf numFmtId="0" fontId="9" fillId="4" borderId="1" xfId="0" applyFont="1" applyFill="1" applyBorder="1" applyAlignment="1">
      <alignment horizontal="center"/>
    </xf>
    <xf numFmtId="0" fontId="6" fillId="4" borderId="8" xfId="0" applyFont="1" applyFill="1" applyBorder="1"/>
    <xf numFmtId="0" fontId="6" fillId="4" borderId="0" xfId="0" applyFont="1" applyFill="1" applyBorder="1"/>
    <xf numFmtId="0" fontId="6" fillId="4" borderId="11" xfId="0" applyFont="1" applyFill="1" applyBorder="1"/>
    <xf numFmtId="0" fontId="6" fillId="4" borderId="9" xfId="0" applyFont="1" applyFill="1" applyBorder="1"/>
    <xf numFmtId="164" fontId="6" fillId="4" borderId="9" xfId="0" applyNumberFormat="1" applyFont="1" applyFill="1" applyBorder="1"/>
    <xf numFmtId="166" fontId="6" fillId="0" borderId="0" xfId="0" applyNumberFormat="1" applyFont="1"/>
    <xf numFmtId="0" fontId="5" fillId="4" borderId="3" xfId="0" applyFont="1" applyFill="1" applyBorder="1" applyAlignment="1">
      <alignment horizontal="center"/>
    </xf>
    <xf numFmtId="0" fontId="5" fillId="4" borderId="1" xfId="0" applyFont="1" applyFill="1" applyBorder="1" applyAlignment="1">
      <alignment horizont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5" fillId="4" borderId="15" xfId="0" applyFont="1" applyFill="1" applyBorder="1" applyAlignment="1">
      <alignment horizontal="center"/>
    </xf>
    <xf numFmtId="0" fontId="5" fillId="4" borderId="12"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election activeCell="A18" sqref="A18"/>
    </sheetView>
  </sheetViews>
  <sheetFormatPr defaultRowHeight="17" x14ac:dyDescent="0.6"/>
  <cols>
    <col min="1" max="1" width="57.90625" style="6" bestFit="1" customWidth="1"/>
    <col min="2" max="2" width="14.453125" style="6" bestFit="1" customWidth="1"/>
    <col min="3" max="16384" width="8.7265625" style="6"/>
  </cols>
  <sheetData>
    <row r="1" spans="1:2" x14ac:dyDescent="0.6">
      <c r="A1" s="5" t="s">
        <v>202</v>
      </c>
    </row>
    <row r="3" spans="1:2" x14ac:dyDescent="0.6">
      <c r="A3" s="111" t="s">
        <v>203</v>
      </c>
      <c r="B3" s="111" t="s">
        <v>204</v>
      </c>
    </row>
    <row r="4" spans="1:2" x14ac:dyDescent="0.6">
      <c r="A4" s="8" t="str">
        <f>'[1]Ann 1'!A3</f>
        <v>Annexure 1 - Estimated cost of the project</v>
      </c>
      <c r="B4" s="9" t="s">
        <v>205</v>
      </c>
    </row>
    <row r="5" spans="1:2" x14ac:dyDescent="0.6">
      <c r="A5" s="8" t="str">
        <f>'[1]Ann 2'!A1</f>
        <v>Annexure 2 - Means of Finance</v>
      </c>
      <c r="B5" s="9" t="s">
        <v>206</v>
      </c>
    </row>
    <row r="6" spans="1:2" x14ac:dyDescent="0.6">
      <c r="A6" s="8" t="str">
        <f>'Ann 3'!A1</f>
        <v>Annexure 3 - Complete Estimate of Civil and Plant and Machinery</v>
      </c>
      <c r="B6" s="9" t="s">
        <v>225</v>
      </c>
    </row>
    <row r="7" spans="1:2" x14ac:dyDescent="0.6">
      <c r="A7" s="8" t="str">
        <f>'[1]Ann 4'!A1</f>
        <v>Annexure 4 - Estimated Cost of Production</v>
      </c>
      <c r="B7" s="9" t="s">
        <v>207</v>
      </c>
    </row>
    <row r="8" spans="1:2" x14ac:dyDescent="0.6">
      <c r="A8" s="8" t="str">
        <f>'[1]Ann 5'!A1</f>
        <v>Annexure 5- Projected balance sheet</v>
      </c>
      <c r="B8" s="9" t="s">
        <v>208</v>
      </c>
    </row>
    <row r="9" spans="1:2" x14ac:dyDescent="0.6">
      <c r="A9" s="8" t="str">
        <f>'Ann 8'!A1</f>
        <v>Annexure 8 - Details of Manpower</v>
      </c>
      <c r="B9" s="9" t="s">
        <v>209</v>
      </c>
    </row>
    <row r="10" spans="1:2" x14ac:dyDescent="0.6">
      <c r="A10" s="8" t="str">
        <f>'Ann 9'!A1</f>
        <v>Annexure 9 - Computation of Depreciation</v>
      </c>
      <c r="B10" s="9" t="s">
        <v>210</v>
      </c>
    </row>
    <row r="11" spans="1:2" x14ac:dyDescent="0.6">
      <c r="A11" s="8" t="str">
        <f>'Ann 10'!A1</f>
        <v>Annexure 10 - Calculation of Income tax</v>
      </c>
      <c r="B11" s="9" t="s">
        <v>211</v>
      </c>
    </row>
    <row r="12" spans="1:2" x14ac:dyDescent="0.6">
      <c r="A12" s="8" t="str">
        <f>'[1]Ann 11'!A1</f>
        <v>Annexure 11- Break even analysis (At maximum capacity utilization)</v>
      </c>
      <c r="B12" s="9" t="s">
        <v>212</v>
      </c>
    </row>
    <row r="13" spans="1:2" x14ac:dyDescent="0.6">
      <c r="A13" s="8" t="str">
        <f>'Ann 13'!A1</f>
        <v>Annexure 13 - Repayment schedule</v>
      </c>
      <c r="B13" s="9" t="s">
        <v>213</v>
      </c>
    </row>
    <row r="14" spans="1:2" x14ac:dyDescent="0.6">
      <c r="A14" s="8" t="str">
        <f>[1]Assumptions!B1</f>
        <v>Assumptions</v>
      </c>
      <c r="B14" s="10" t="s">
        <v>214</v>
      </c>
    </row>
    <row r="15" spans="1:2" x14ac:dyDescent="0.6">
      <c r="A15" s="8" t="str">
        <f>'Cash flows'!A1</f>
        <v>Cash flow statement</v>
      </c>
      <c r="B15" s="9" t="s">
        <v>219</v>
      </c>
    </row>
    <row r="16" spans="1:2" x14ac:dyDescent="0.6">
      <c r="A16" s="8" t="str">
        <f>[1]Budgets!A1</f>
        <v>Sales Budget</v>
      </c>
      <c r="B16" s="10" t="s">
        <v>215</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4" location="Assumptions!A1" display="Assumptions!A1" xr:uid="{E978F649-0532-497D-92AA-EF316AAFA8E7}"/>
    <hyperlink ref="B16" location="Budgets!A1" display="Budgets!A1" xr:uid="{4CD23AF4-AE8A-40D8-A5ED-3F33524C9974}"/>
    <hyperlink ref="B15" location="'Cash flows'!A1" display="'Cash flows'!A1" xr:uid="{718213C1-E053-4B01-87D5-A7B478363B5A}"/>
    <hyperlink ref="B6" location="'Ann 3'!A1" display="'Ann 3'!A1" xr:uid="{103D0423-931A-4127-89EA-F0D3EE7C4F9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5" sqref="A5:J6"/>
    </sheetView>
  </sheetViews>
  <sheetFormatPr defaultRowHeight="17" x14ac:dyDescent="0.6"/>
  <cols>
    <col min="1" max="1" width="20.90625" style="6" customWidth="1"/>
    <col min="2" max="10" width="13.6328125" style="6" bestFit="1" customWidth="1"/>
    <col min="11" max="16384" width="8.7265625" style="6"/>
  </cols>
  <sheetData>
    <row r="1" spans="1:10" x14ac:dyDescent="0.6">
      <c r="A1" s="5" t="s">
        <v>105</v>
      </c>
    </row>
    <row r="3" spans="1:10" x14ac:dyDescent="0.6">
      <c r="A3" s="67" t="s">
        <v>106</v>
      </c>
    </row>
    <row r="5" spans="1:10" s="5" customFormat="1" x14ac:dyDescent="0.6">
      <c r="A5" s="132" t="s">
        <v>3</v>
      </c>
      <c r="B5" s="132" t="s">
        <v>48</v>
      </c>
      <c r="C5" s="132"/>
      <c r="D5" s="132"/>
      <c r="E5" s="132"/>
      <c r="F5" s="132"/>
      <c r="G5" s="132"/>
      <c r="H5" s="132"/>
      <c r="I5" s="132"/>
      <c r="J5" s="132"/>
    </row>
    <row r="6" spans="1:10" s="5" customFormat="1" x14ac:dyDescent="0.6">
      <c r="A6" s="132"/>
      <c r="B6" s="111" t="s">
        <v>39</v>
      </c>
      <c r="C6" s="111" t="s">
        <v>40</v>
      </c>
      <c r="D6" s="111" t="s">
        <v>41</v>
      </c>
      <c r="E6" s="111" t="s">
        <v>42</v>
      </c>
      <c r="F6" s="111" t="s">
        <v>43</v>
      </c>
      <c r="G6" s="111" t="s">
        <v>44</v>
      </c>
      <c r="H6" s="111" t="s">
        <v>45</v>
      </c>
      <c r="I6" s="111" t="s">
        <v>46</v>
      </c>
      <c r="J6" s="111" t="s">
        <v>47</v>
      </c>
    </row>
    <row r="7" spans="1:10" x14ac:dyDescent="0.6">
      <c r="A7" s="8" t="s">
        <v>107</v>
      </c>
      <c r="B7" s="52">
        <f>'Ann 4'!C27</f>
        <v>4850404.5</v>
      </c>
      <c r="C7" s="52">
        <f>'Ann 4'!D27</f>
        <v>5552958.7999999998</v>
      </c>
      <c r="D7" s="52">
        <f>'Ann 4'!E27</f>
        <v>6068317.8859999999</v>
      </c>
      <c r="E7" s="52">
        <f>'Ann 4'!F27</f>
        <v>6576317.9970199997</v>
      </c>
      <c r="F7" s="52">
        <f>'Ann 4'!G27</f>
        <v>7076501.4912613994</v>
      </c>
      <c r="G7" s="52">
        <f>'Ann 4'!H27</f>
        <v>7568381.5663221981</v>
      </c>
      <c r="H7" s="52">
        <f>'Ann 4'!I27</f>
        <v>8051440.3616708759</v>
      </c>
      <c r="I7" s="52">
        <f>'Ann 4'!J27</f>
        <v>7991086.9566120813</v>
      </c>
      <c r="J7" s="52">
        <f>'Ann 4'!K27</f>
        <v>7891775.900701086</v>
      </c>
    </row>
    <row r="8" spans="1:10" x14ac:dyDescent="0.6">
      <c r="A8" s="8" t="s">
        <v>108</v>
      </c>
      <c r="B8" s="52">
        <v>0</v>
      </c>
      <c r="C8" s="52">
        <v>0</v>
      </c>
      <c r="D8" s="52">
        <v>0</v>
      </c>
      <c r="E8" s="52">
        <v>0</v>
      </c>
      <c r="F8" s="52">
        <v>0</v>
      </c>
      <c r="G8" s="52">
        <v>0</v>
      </c>
      <c r="H8" s="52">
        <v>0</v>
      </c>
      <c r="I8" s="52">
        <v>0</v>
      </c>
      <c r="J8" s="52">
        <v>0</v>
      </c>
    </row>
    <row r="9" spans="1:10" x14ac:dyDescent="0.6">
      <c r="A9" s="8" t="s">
        <v>109</v>
      </c>
      <c r="B9" s="52">
        <f>B7+B8</f>
        <v>4850404.5</v>
      </c>
      <c r="C9" s="52">
        <f t="shared" ref="C9:J9" si="0">C7+C8</f>
        <v>5552958.7999999998</v>
      </c>
      <c r="D9" s="52">
        <f t="shared" si="0"/>
        <v>6068317.8859999999</v>
      </c>
      <c r="E9" s="52">
        <f t="shared" si="0"/>
        <v>6576317.9970199997</v>
      </c>
      <c r="F9" s="52">
        <f t="shared" si="0"/>
        <v>7076501.4912613994</v>
      </c>
      <c r="G9" s="52">
        <f t="shared" si="0"/>
        <v>7568381.5663221981</v>
      </c>
      <c r="H9" s="52">
        <f t="shared" si="0"/>
        <v>8051440.3616708759</v>
      </c>
      <c r="I9" s="52">
        <f t="shared" si="0"/>
        <v>7991086.9566120813</v>
      </c>
      <c r="J9" s="52">
        <f t="shared" si="0"/>
        <v>7891775.900701086</v>
      </c>
    </row>
    <row r="10" spans="1:10" x14ac:dyDescent="0.6">
      <c r="A10" s="8" t="s">
        <v>110</v>
      </c>
      <c r="B10" s="52">
        <f>SUM('Ann 9'!C12:E12)</f>
        <v>749850</v>
      </c>
      <c r="C10" s="52">
        <f>SUM('Ann 9'!C13:E13)</f>
        <v>656122.5</v>
      </c>
      <c r="D10" s="52">
        <f>SUM('Ann 9'!C14:E14)</f>
        <v>574579.125</v>
      </c>
      <c r="E10" s="52">
        <f>SUM('Ann 9'!C15:E15)</f>
        <v>503579.75624999998</v>
      </c>
      <c r="F10" s="52">
        <f>SUM('Ann 9'!C16:E16)</f>
        <v>441711.54281249997</v>
      </c>
      <c r="G10" s="52">
        <f>SUM('Ann 9'!C17:E17)</f>
        <v>387756.68639062496</v>
      </c>
      <c r="H10" s="52">
        <f>SUM('Ann 9'!C18:E18)</f>
        <v>340664.87093203125</v>
      </c>
      <c r="I10" s="52">
        <f>SUM('Ann 9'!C19:E19)</f>
        <v>299529.65904222656</v>
      </c>
      <c r="J10" s="52">
        <f>SUM('Ann 9'!C20:E20)</f>
        <v>263568.27706089255</v>
      </c>
    </row>
    <row r="11" spans="1:10" x14ac:dyDescent="0.6">
      <c r="A11" s="8" t="s">
        <v>109</v>
      </c>
      <c r="B11" s="52">
        <f>B9-B10</f>
        <v>4100554.5</v>
      </c>
      <c r="C11" s="52">
        <f t="shared" ref="C11:J11" si="1">C9-C10</f>
        <v>4896836.3</v>
      </c>
      <c r="D11" s="52">
        <f t="shared" si="1"/>
        <v>5493738.7609999999</v>
      </c>
      <c r="E11" s="52">
        <f t="shared" si="1"/>
        <v>6072738.24077</v>
      </c>
      <c r="F11" s="52">
        <f t="shared" si="1"/>
        <v>6634789.9484488992</v>
      </c>
      <c r="G11" s="52">
        <f t="shared" si="1"/>
        <v>7180624.8799315728</v>
      </c>
      <c r="H11" s="52">
        <f t="shared" si="1"/>
        <v>7710775.4907388445</v>
      </c>
      <c r="I11" s="52">
        <f t="shared" si="1"/>
        <v>7691557.2975698551</v>
      </c>
      <c r="J11" s="52">
        <f t="shared" si="1"/>
        <v>7628207.6236401936</v>
      </c>
    </row>
    <row r="12" spans="1:10" x14ac:dyDescent="0.6">
      <c r="A12" s="8" t="s">
        <v>111</v>
      </c>
      <c r="B12" s="80">
        <v>0</v>
      </c>
      <c r="C12" s="80">
        <v>0</v>
      </c>
      <c r="D12" s="80">
        <v>0</v>
      </c>
      <c r="E12" s="80">
        <v>0</v>
      </c>
      <c r="F12" s="80">
        <v>0</v>
      </c>
      <c r="G12" s="80">
        <v>0</v>
      </c>
      <c r="H12" s="80">
        <v>0</v>
      </c>
      <c r="I12" s="80">
        <v>0</v>
      </c>
      <c r="J12" s="80">
        <v>0</v>
      </c>
    </row>
    <row r="13" spans="1:10" x14ac:dyDescent="0.6">
      <c r="A13" s="8" t="s">
        <v>112</v>
      </c>
      <c r="B13" s="68">
        <f>B11</f>
        <v>4100554.5</v>
      </c>
      <c r="C13" s="68">
        <f t="shared" ref="C13:J13" si="2">C11</f>
        <v>4896836.3</v>
      </c>
      <c r="D13" s="68">
        <f t="shared" si="2"/>
        <v>5493738.7609999999</v>
      </c>
      <c r="E13" s="68">
        <f t="shared" si="2"/>
        <v>6072738.24077</v>
      </c>
      <c r="F13" s="68">
        <f t="shared" si="2"/>
        <v>6634789.9484488992</v>
      </c>
      <c r="G13" s="68">
        <f t="shared" si="2"/>
        <v>7180624.8799315728</v>
      </c>
      <c r="H13" s="68">
        <f t="shared" si="2"/>
        <v>7710775.4907388445</v>
      </c>
      <c r="I13" s="68">
        <f t="shared" si="2"/>
        <v>7691557.2975698551</v>
      </c>
      <c r="J13" s="68">
        <f t="shared" si="2"/>
        <v>7628207.6236401936</v>
      </c>
    </row>
    <row r="14" spans="1:10" x14ac:dyDescent="0.6">
      <c r="A14" s="8" t="s">
        <v>113</v>
      </c>
      <c r="B14" s="68">
        <f>B13*30%</f>
        <v>1230166.3499999999</v>
      </c>
      <c r="C14" s="68">
        <f t="shared" ref="C14:J14" si="3">C13*30%</f>
        <v>1469050.89</v>
      </c>
      <c r="D14" s="68">
        <f t="shared" si="3"/>
        <v>1648121.6283</v>
      </c>
      <c r="E14" s="68">
        <f t="shared" si="3"/>
        <v>1821821.472231</v>
      </c>
      <c r="F14" s="68">
        <f t="shared" si="3"/>
        <v>1990436.9845346697</v>
      </c>
      <c r="G14" s="68">
        <f t="shared" si="3"/>
        <v>2154187.4639794719</v>
      </c>
      <c r="H14" s="68">
        <f t="shared" si="3"/>
        <v>2313232.6472216533</v>
      </c>
      <c r="I14" s="68">
        <f t="shared" si="3"/>
        <v>2307467.1892709564</v>
      </c>
      <c r="J14" s="68">
        <f t="shared" si="3"/>
        <v>2288462.287092058</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43"/>
  <sheetViews>
    <sheetView topLeftCell="A20" workbookViewId="0">
      <selection activeCell="C14" sqref="C14"/>
    </sheetView>
  </sheetViews>
  <sheetFormatPr defaultRowHeight="17" x14ac:dyDescent="0.6"/>
  <cols>
    <col min="1" max="1" width="8.7265625" style="6"/>
    <col min="2" max="2" width="26.7265625" style="6" bestFit="1" customWidth="1"/>
    <col min="3" max="3" width="14.6328125" style="6" bestFit="1" customWidth="1"/>
    <col min="4" max="4" width="14.90625" style="6" bestFit="1" customWidth="1"/>
    <col min="5" max="5" width="13.90625" style="6" bestFit="1" customWidth="1"/>
    <col min="6" max="14" width="8.7265625" style="6"/>
    <col min="15" max="15" width="13.6328125" style="6" bestFit="1" customWidth="1"/>
    <col min="16" max="16" width="12.54296875" style="6" bestFit="1" customWidth="1"/>
    <col min="17" max="16384" width="8.7265625" style="6"/>
  </cols>
  <sheetData>
    <row r="1" spans="1:7" x14ac:dyDescent="0.6">
      <c r="A1" s="5" t="s">
        <v>70</v>
      </c>
    </row>
    <row r="3" spans="1:7" x14ac:dyDescent="0.6">
      <c r="A3" s="120" t="s">
        <v>312</v>
      </c>
      <c r="B3" s="121"/>
      <c r="C3" s="121"/>
      <c r="D3" s="121"/>
      <c r="E3" s="121"/>
    </row>
    <row r="5" spans="1:7" x14ac:dyDescent="0.6">
      <c r="B5" s="6" t="s">
        <v>50</v>
      </c>
      <c r="E5" s="81">
        <f>'Ann 4'!C19/70%</f>
        <v>13750000</v>
      </c>
    </row>
    <row r="6" spans="1:7" x14ac:dyDescent="0.6">
      <c r="B6" s="6" t="s">
        <v>71</v>
      </c>
    </row>
    <row r="7" spans="1:7" x14ac:dyDescent="0.6">
      <c r="B7" s="82" t="s">
        <v>72</v>
      </c>
      <c r="D7" s="51">
        <f>E5*10%</f>
        <v>1375000</v>
      </c>
    </row>
    <row r="8" spans="1:7" x14ac:dyDescent="0.6">
      <c r="B8" s="82" t="s">
        <v>73</v>
      </c>
      <c r="D8" s="51">
        <f>'Ann 4'!C24</f>
        <v>45000</v>
      </c>
      <c r="E8" s="51"/>
    </row>
    <row r="9" spans="1:7" x14ac:dyDescent="0.6">
      <c r="B9" s="82" t="s">
        <v>76</v>
      </c>
      <c r="D9" s="51">
        <f>'Ann 4'!K39</f>
        <v>1407100.42265625</v>
      </c>
      <c r="E9" s="51">
        <f>SUM(D7:D9)</f>
        <v>2827100.4226562502</v>
      </c>
      <c r="G9" s="50"/>
    </row>
    <row r="10" spans="1:7" x14ac:dyDescent="0.6">
      <c r="B10" s="6" t="s">
        <v>74</v>
      </c>
      <c r="E10" s="51">
        <f>E5-E9</f>
        <v>10922899.577343751</v>
      </c>
    </row>
    <row r="11" spans="1:7" x14ac:dyDescent="0.6">
      <c r="B11" s="6" t="s">
        <v>254</v>
      </c>
    </row>
    <row r="12" spans="1:7" x14ac:dyDescent="0.6">
      <c r="B12" s="6" t="s">
        <v>75</v>
      </c>
      <c r="E12" s="51">
        <f>'Ann 8'!E16</f>
        <v>855360</v>
      </c>
    </row>
    <row r="13" spans="1:7" x14ac:dyDescent="0.6">
      <c r="B13" s="6" t="s">
        <v>77</v>
      </c>
      <c r="E13" s="51">
        <f>'Ann 9'!F12</f>
        <v>749850</v>
      </c>
    </row>
    <row r="14" spans="1:7" x14ac:dyDescent="0.6">
      <c r="B14" s="6" t="s">
        <v>252</v>
      </c>
      <c r="E14" s="51">
        <v>120000</v>
      </c>
    </row>
    <row r="15" spans="1:7" x14ac:dyDescent="0.6">
      <c r="B15" s="6" t="s">
        <v>311</v>
      </c>
      <c r="E15" s="51">
        <v>500000</v>
      </c>
    </row>
    <row r="16" spans="1:7" x14ac:dyDescent="0.6">
      <c r="B16" s="6" t="s">
        <v>288</v>
      </c>
      <c r="E16" s="51">
        <v>200000</v>
      </c>
    </row>
    <row r="17" spans="2:5" x14ac:dyDescent="0.6">
      <c r="B17" s="6" t="s">
        <v>198</v>
      </c>
      <c r="E17" s="51">
        <f>SUM('Ann 13'!E9:E12)*100000</f>
        <v>334255.5</v>
      </c>
    </row>
    <row r="18" spans="2:5" x14ac:dyDescent="0.6">
      <c r="B18" s="6" t="s">
        <v>78</v>
      </c>
      <c r="E18" s="51">
        <f>SUM(E12:E17)</f>
        <v>2759465.5</v>
      </c>
    </row>
    <row r="20" spans="2:5" x14ac:dyDescent="0.6">
      <c r="B20" s="122" t="s">
        <v>3</v>
      </c>
      <c r="C20" s="122" t="s">
        <v>257</v>
      </c>
      <c r="D20" s="122" t="s">
        <v>290</v>
      </c>
      <c r="E20" s="121"/>
    </row>
    <row r="21" spans="2:5" x14ac:dyDescent="0.6">
      <c r="B21" s="6" t="s">
        <v>79</v>
      </c>
      <c r="C21" s="6">
        <f>Budgets!C17</f>
        <v>1.25</v>
      </c>
      <c r="D21" s="6">
        <f>Budgets!C18</f>
        <v>10</v>
      </c>
      <c r="E21" s="83"/>
    </row>
    <row r="22" spans="2:5" x14ac:dyDescent="0.6">
      <c r="B22" s="6" t="s">
        <v>71</v>
      </c>
      <c r="E22" s="83"/>
    </row>
    <row r="23" spans="2:5" x14ac:dyDescent="0.6">
      <c r="B23" s="6" t="s">
        <v>289</v>
      </c>
      <c r="C23" s="6">
        <f>C21*20%</f>
        <v>0.25</v>
      </c>
      <c r="D23" s="6">
        <f>D21*20%</f>
        <v>2</v>
      </c>
      <c r="E23" s="83"/>
    </row>
    <row r="24" spans="2:5" x14ac:dyDescent="0.6">
      <c r="B24" s="6" t="s">
        <v>291</v>
      </c>
      <c r="C24" s="6">
        <f>('Ann 4'!$C$39/70%)*(3/4)/Budgets!B12</f>
        <v>0.2678571428571429</v>
      </c>
      <c r="D24" s="6">
        <f>('Ann 4'!$C$39/70%)*(1/4)/Budgets!B18</f>
        <v>0.2678571428571429</v>
      </c>
      <c r="E24" s="83"/>
    </row>
    <row r="25" spans="2:5" x14ac:dyDescent="0.6">
      <c r="B25" s="6" t="s">
        <v>292</v>
      </c>
      <c r="C25" s="51">
        <f>D8/100000</f>
        <v>0.45</v>
      </c>
      <c r="D25" s="51">
        <f>E8</f>
        <v>0</v>
      </c>
      <c r="E25" s="83"/>
    </row>
    <row r="26" spans="2:5" x14ac:dyDescent="0.6">
      <c r="C26" s="84">
        <f>C21-C23-C24-C25</f>
        <v>0.28214285714285708</v>
      </c>
      <c r="D26" s="84">
        <f>D21-D23-D24-D25</f>
        <v>7.7321428571428568</v>
      </c>
      <c r="E26" s="83"/>
    </row>
    <row r="27" spans="2:5" x14ac:dyDescent="0.6">
      <c r="B27" s="6" t="s">
        <v>293</v>
      </c>
      <c r="C27" s="28">
        <f>C26/C21</f>
        <v>0.22571428571428567</v>
      </c>
      <c r="D27" s="28">
        <f>D26/D21</f>
        <v>0.77321428571428563</v>
      </c>
      <c r="E27" s="83"/>
    </row>
    <row r="28" spans="2:5" x14ac:dyDescent="0.6">
      <c r="B28" s="6" t="s">
        <v>294</v>
      </c>
      <c r="C28" s="85">
        <v>0.5</v>
      </c>
      <c r="D28" s="85">
        <v>0.5</v>
      </c>
      <c r="E28" s="83"/>
    </row>
    <row r="29" spans="2:5" x14ac:dyDescent="0.6">
      <c r="B29" s="6" t="s">
        <v>295</v>
      </c>
      <c r="C29" s="28">
        <f>C27*C28</f>
        <v>0.11285714285714284</v>
      </c>
      <c r="D29" s="28">
        <f>D27*D28</f>
        <v>0.38660714285714282</v>
      </c>
      <c r="E29" s="86">
        <f>SUM(C29:D29)</f>
        <v>0.49946428571428564</v>
      </c>
    </row>
    <row r="30" spans="2:5" x14ac:dyDescent="0.6">
      <c r="B30" s="6" t="s">
        <v>297</v>
      </c>
      <c r="C30" s="28"/>
      <c r="D30" s="28"/>
      <c r="E30" s="81">
        <f>E18/E29</f>
        <v>5524850.4826599937</v>
      </c>
    </row>
    <row r="31" spans="2:5" x14ac:dyDescent="0.6">
      <c r="B31" s="6" t="s">
        <v>305</v>
      </c>
      <c r="C31" s="81">
        <f>C21*Budgets!B17</f>
        <v>3750000</v>
      </c>
      <c r="D31" s="81">
        <f>D21*Budgets!B18</f>
        <v>10000000</v>
      </c>
      <c r="E31" s="81">
        <f>SUM(C31:D31)</f>
        <v>13750000</v>
      </c>
    </row>
    <row r="32" spans="2:5" x14ac:dyDescent="0.6">
      <c r="B32" s="6" t="s">
        <v>302</v>
      </c>
      <c r="C32" s="81"/>
      <c r="D32" s="81"/>
      <c r="E32" s="28">
        <f>E30/E31</f>
        <v>0.40180730782981772</v>
      </c>
    </row>
    <row r="33" spans="1:5" x14ac:dyDescent="0.6">
      <c r="B33" s="6" t="s">
        <v>298</v>
      </c>
      <c r="C33" s="87">
        <f>$E$30*C28</f>
        <v>2762425.2413299968</v>
      </c>
      <c r="D33" s="88"/>
      <c r="E33" s="89"/>
    </row>
    <row r="34" spans="1:5" x14ac:dyDescent="0.6">
      <c r="B34" s="6" t="s">
        <v>299</v>
      </c>
      <c r="C34" s="87">
        <f>$E$30*D28</f>
        <v>2762425.2413299968</v>
      </c>
      <c r="D34" s="90"/>
      <c r="E34" s="89"/>
    </row>
    <row r="35" spans="1:5" x14ac:dyDescent="0.6">
      <c r="C35" s="85"/>
      <c r="D35" s="91"/>
      <c r="E35" s="83"/>
    </row>
    <row r="36" spans="1:5" x14ac:dyDescent="0.6">
      <c r="B36" s="6" t="s">
        <v>300</v>
      </c>
      <c r="C36" s="87">
        <f>C33/C21</f>
        <v>2209940.1930639977</v>
      </c>
      <c r="D36" s="91"/>
      <c r="E36" s="83"/>
    </row>
    <row r="37" spans="1:5" x14ac:dyDescent="0.6">
      <c r="B37" s="6" t="s">
        <v>301</v>
      </c>
      <c r="C37" s="87">
        <f>C34/D21</f>
        <v>276242.52413299971</v>
      </c>
      <c r="D37" s="83"/>
      <c r="E37" s="83"/>
    </row>
    <row r="38" spans="1:5" x14ac:dyDescent="0.6">
      <c r="C38" s="28"/>
      <c r="D38" s="83"/>
      <c r="E38" s="83"/>
    </row>
    <row r="39" spans="1:5" x14ac:dyDescent="0.6">
      <c r="B39" s="6" t="s">
        <v>303</v>
      </c>
      <c r="C39" s="28">
        <f>C36/Budgets!B17</f>
        <v>0.7366467310213326</v>
      </c>
      <c r="D39" s="83"/>
      <c r="E39" s="83"/>
    </row>
    <row r="40" spans="1:5" x14ac:dyDescent="0.6">
      <c r="B40" s="6" t="s">
        <v>304</v>
      </c>
      <c r="C40" s="28">
        <f>C37/Budgets!B18</f>
        <v>0.27624252413299971</v>
      </c>
      <c r="D40" s="83"/>
      <c r="E40" s="83"/>
    </row>
    <row r="41" spans="1:5" x14ac:dyDescent="0.6">
      <c r="C41" s="28"/>
    </row>
    <row r="42" spans="1:5" ht="49" customHeight="1" x14ac:dyDescent="0.6">
      <c r="A42" s="134" t="s">
        <v>226</v>
      </c>
      <c r="B42" s="134"/>
      <c r="C42" s="134"/>
      <c r="D42" s="134"/>
      <c r="E42" s="134"/>
    </row>
    <row r="43" spans="1:5" ht="86.5" customHeight="1" x14ac:dyDescent="0.6">
      <c r="A43" s="134" t="s">
        <v>314</v>
      </c>
      <c r="B43" s="134"/>
      <c r="C43" s="134"/>
      <c r="D43" s="134"/>
      <c r="E43" s="134"/>
    </row>
  </sheetData>
  <mergeCells count="2">
    <mergeCell ref="A42:E42"/>
    <mergeCell ref="A43:E43"/>
  </mergeCells>
  <pageMargins left="0.7" right="0.7" top="0.75" bottom="0.75" header="0.3" footer="0.3"/>
  <pageSetup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80</v>
      </c>
    </row>
    <row r="3" spans="1:11" x14ac:dyDescent="0.35">
      <c r="C3" s="135" t="s">
        <v>81</v>
      </c>
      <c r="D3" s="135"/>
      <c r="E3" s="135"/>
      <c r="F3" s="135"/>
      <c r="G3" s="135"/>
      <c r="H3" s="135"/>
      <c r="I3" s="135"/>
      <c r="J3" s="135"/>
      <c r="K3" s="135"/>
    </row>
    <row r="4" spans="1:11" x14ac:dyDescent="0.35">
      <c r="C4">
        <v>1</v>
      </c>
      <c r="D4">
        <v>2</v>
      </c>
      <c r="E4">
        <v>3</v>
      </c>
      <c r="F4">
        <v>4</v>
      </c>
      <c r="G4">
        <v>5</v>
      </c>
      <c r="H4">
        <v>6</v>
      </c>
      <c r="I4">
        <v>7</v>
      </c>
      <c r="J4">
        <v>8</v>
      </c>
      <c r="K4">
        <v>9</v>
      </c>
    </row>
    <row r="5" spans="1:11" x14ac:dyDescent="0.35">
      <c r="A5" t="s">
        <v>82</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83</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84</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election activeCell="C19" sqref="C19"/>
    </sheetView>
  </sheetViews>
  <sheetFormatPr defaultRowHeight="17" x14ac:dyDescent="0.6"/>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x14ac:dyDescent="0.6">
      <c r="A1" s="5" t="s">
        <v>90</v>
      </c>
    </row>
    <row r="3" spans="1:7" x14ac:dyDescent="0.6">
      <c r="A3" s="67" t="s">
        <v>91</v>
      </c>
    </row>
    <row r="4" spans="1:7" x14ac:dyDescent="0.6">
      <c r="A4" s="6" t="s">
        <v>92</v>
      </c>
      <c r="D4" s="29">
        <f>'Ann 2'!C6</f>
        <v>56.25</v>
      </c>
    </row>
    <row r="5" spans="1:7" x14ac:dyDescent="0.6">
      <c r="A5" s="6" t="s">
        <v>93</v>
      </c>
      <c r="D5" s="92">
        <v>0.06</v>
      </c>
    </row>
    <row r="6" spans="1:7" x14ac:dyDescent="0.6">
      <c r="A6" s="6" t="s">
        <v>94</v>
      </c>
      <c r="D6" s="93" t="s">
        <v>155</v>
      </c>
    </row>
    <row r="8" spans="1:7" x14ac:dyDescent="0.6">
      <c r="A8" s="123" t="s">
        <v>69</v>
      </c>
      <c r="B8" s="123" t="s">
        <v>95</v>
      </c>
      <c r="C8" s="123" t="s">
        <v>96</v>
      </c>
      <c r="D8" s="123" t="s">
        <v>98</v>
      </c>
      <c r="E8" s="123" t="s">
        <v>97</v>
      </c>
    </row>
    <row r="9" spans="1:7" x14ac:dyDescent="0.6">
      <c r="A9" s="136">
        <v>1</v>
      </c>
      <c r="B9" s="8">
        <v>1</v>
      </c>
      <c r="C9" s="72">
        <f>$D$4</f>
        <v>56.25</v>
      </c>
      <c r="D9" s="8">
        <v>0</v>
      </c>
      <c r="E9" s="8">
        <f>C9*$D$5/4</f>
        <v>0.84375</v>
      </c>
    </row>
    <row r="10" spans="1:7" x14ac:dyDescent="0.6">
      <c r="A10" s="136"/>
      <c r="B10" s="8">
        <v>2</v>
      </c>
      <c r="C10" s="72">
        <f>$D$4</f>
        <v>56.25</v>
      </c>
      <c r="D10" s="8">
        <v>0</v>
      </c>
      <c r="E10" s="8">
        <f t="shared" ref="E10:E36" si="0">C10*$D$5/4</f>
        <v>0.84375</v>
      </c>
      <c r="G10" s="94"/>
    </row>
    <row r="11" spans="1:7" x14ac:dyDescent="0.6">
      <c r="A11" s="136"/>
      <c r="B11" s="8">
        <v>3</v>
      </c>
      <c r="C11" s="72">
        <f>$D$4</f>
        <v>56.25</v>
      </c>
      <c r="D11" s="8">
        <v>2.1629999999999998</v>
      </c>
      <c r="E11" s="8">
        <f t="shared" si="0"/>
        <v>0.84375</v>
      </c>
    </row>
    <row r="12" spans="1:7" x14ac:dyDescent="0.6">
      <c r="A12" s="136"/>
      <c r="B12" s="8">
        <v>4</v>
      </c>
      <c r="C12" s="8">
        <f t="shared" ref="C12:C17" si="1">C11-D11</f>
        <v>54.087000000000003</v>
      </c>
      <c r="D12" s="8">
        <f>D11</f>
        <v>2.1629999999999998</v>
      </c>
      <c r="E12" s="8">
        <f t="shared" si="0"/>
        <v>0.81130500000000005</v>
      </c>
    </row>
    <row r="13" spans="1:7" x14ac:dyDescent="0.6">
      <c r="A13" s="136">
        <v>2</v>
      </c>
      <c r="B13" s="8">
        <v>1</v>
      </c>
      <c r="C13" s="8">
        <f t="shared" si="1"/>
        <v>51.924000000000007</v>
      </c>
      <c r="D13" s="8">
        <f t="shared" ref="D13:D35" si="2">D12</f>
        <v>2.1629999999999998</v>
      </c>
      <c r="E13" s="8">
        <f t="shared" si="0"/>
        <v>0.77886000000000011</v>
      </c>
    </row>
    <row r="14" spans="1:7" x14ac:dyDescent="0.6">
      <c r="A14" s="136"/>
      <c r="B14" s="8">
        <v>2</v>
      </c>
      <c r="C14" s="8">
        <f t="shared" si="1"/>
        <v>49.76100000000001</v>
      </c>
      <c r="D14" s="8">
        <f t="shared" si="2"/>
        <v>2.1629999999999998</v>
      </c>
      <c r="E14" s="8">
        <f t="shared" si="0"/>
        <v>0.74641500000000016</v>
      </c>
    </row>
    <row r="15" spans="1:7" x14ac:dyDescent="0.6">
      <c r="A15" s="136"/>
      <c r="B15" s="8">
        <v>3</v>
      </c>
      <c r="C15" s="8">
        <f t="shared" si="1"/>
        <v>47.598000000000013</v>
      </c>
      <c r="D15" s="8">
        <f t="shared" si="2"/>
        <v>2.1629999999999998</v>
      </c>
      <c r="E15" s="8">
        <f t="shared" si="0"/>
        <v>0.71397000000000022</v>
      </c>
    </row>
    <row r="16" spans="1:7" x14ac:dyDescent="0.6">
      <c r="A16" s="136"/>
      <c r="B16" s="8">
        <v>4</v>
      </c>
      <c r="C16" s="8">
        <f t="shared" si="1"/>
        <v>45.435000000000016</v>
      </c>
      <c r="D16" s="8">
        <f t="shared" si="2"/>
        <v>2.1629999999999998</v>
      </c>
      <c r="E16" s="8">
        <f t="shared" si="0"/>
        <v>0.68152500000000027</v>
      </c>
    </row>
    <row r="17" spans="1:5" x14ac:dyDescent="0.6">
      <c r="A17" s="136">
        <v>3</v>
      </c>
      <c r="B17" s="8">
        <v>1</v>
      </c>
      <c r="C17" s="8">
        <f t="shared" si="1"/>
        <v>43.27200000000002</v>
      </c>
      <c r="D17" s="8">
        <f t="shared" si="2"/>
        <v>2.1629999999999998</v>
      </c>
      <c r="E17" s="8">
        <f t="shared" si="0"/>
        <v>0.64908000000000032</v>
      </c>
    </row>
    <row r="18" spans="1:5" x14ac:dyDescent="0.6">
      <c r="A18" s="136"/>
      <c r="B18" s="8">
        <v>2</v>
      </c>
      <c r="C18" s="8">
        <f t="shared" ref="C18:C36" si="3">C17-D17</f>
        <v>41.109000000000023</v>
      </c>
      <c r="D18" s="8">
        <f t="shared" si="2"/>
        <v>2.1629999999999998</v>
      </c>
      <c r="E18" s="8">
        <f t="shared" si="0"/>
        <v>0.61663500000000038</v>
      </c>
    </row>
    <row r="19" spans="1:5" x14ac:dyDescent="0.6">
      <c r="A19" s="136"/>
      <c r="B19" s="8">
        <v>3</v>
      </c>
      <c r="C19" s="8">
        <f t="shared" si="3"/>
        <v>38.946000000000026</v>
      </c>
      <c r="D19" s="8">
        <f t="shared" si="2"/>
        <v>2.1629999999999998</v>
      </c>
      <c r="E19" s="8">
        <f t="shared" si="0"/>
        <v>0.58419000000000032</v>
      </c>
    </row>
    <row r="20" spans="1:5" x14ac:dyDescent="0.6">
      <c r="A20" s="136"/>
      <c r="B20" s="8">
        <v>4</v>
      </c>
      <c r="C20" s="8">
        <f t="shared" si="3"/>
        <v>36.78300000000003</v>
      </c>
      <c r="D20" s="8">
        <f t="shared" si="2"/>
        <v>2.1629999999999998</v>
      </c>
      <c r="E20" s="8">
        <f t="shared" si="0"/>
        <v>0.55174500000000037</v>
      </c>
    </row>
    <row r="21" spans="1:5" x14ac:dyDescent="0.6">
      <c r="A21" s="136">
        <v>4</v>
      </c>
      <c r="B21" s="8">
        <v>1</v>
      </c>
      <c r="C21" s="8">
        <f t="shared" si="3"/>
        <v>34.620000000000033</v>
      </c>
      <c r="D21" s="8">
        <f t="shared" si="2"/>
        <v>2.1629999999999998</v>
      </c>
      <c r="E21" s="8">
        <f t="shared" si="0"/>
        <v>0.51930000000000043</v>
      </c>
    </row>
    <row r="22" spans="1:5" x14ac:dyDescent="0.6">
      <c r="A22" s="136"/>
      <c r="B22" s="8">
        <v>2</v>
      </c>
      <c r="C22" s="8">
        <f t="shared" si="3"/>
        <v>32.457000000000036</v>
      </c>
      <c r="D22" s="8">
        <f t="shared" si="2"/>
        <v>2.1629999999999998</v>
      </c>
      <c r="E22" s="8">
        <f t="shared" si="0"/>
        <v>0.48685500000000054</v>
      </c>
    </row>
    <row r="23" spans="1:5" x14ac:dyDescent="0.6">
      <c r="A23" s="136"/>
      <c r="B23" s="8">
        <v>3</v>
      </c>
      <c r="C23" s="8">
        <f t="shared" si="3"/>
        <v>30.294000000000036</v>
      </c>
      <c r="D23" s="8">
        <f t="shared" si="2"/>
        <v>2.1629999999999998</v>
      </c>
      <c r="E23" s="8">
        <f t="shared" si="0"/>
        <v>0.45441000000000054</v>
      </c>
    </row>
    <row r="24" spans="1:5" x14ac:dyDescent="0.6">
      <c r="A24" s="136"/>
      <c r="B24" s="8">
        <v>4</v>
      </c>
      <c r="C24" s="8">
        <f t="shared" si="3"/>
        <v>28.131000000000036</v>
      </c>
      <c r="D24" s="8">
        <f t="shared" si="2"/>
        <v>2.1629999999999998</v>
      </c>
      <c r="E24" s="8">
        <f t="shared" si="0"/>
        <v>0.42196500000000053</v>
      </c>
    </row>
    <row r="25" spans="1:5" x14ac:dyDescent="0.6">
      <c r="A25" s="136">
        <v>5</v>
      </c>
      <c r="B25" s="8">
        <v>1</v>
      </c>
      <c r="C25" s="8">
        <f t="shared" si="3"/>
        <v>25.968000000000035</v>
      </c>
      <c r="D25" s="8">
        <f t="shared" si="2"/>
        <v>2.1629999999999998</v>
      </c>
      <c r="E25" s="8">
        <f t="shared" si="0"/>
        <v>0.38952000000000053</v>
      </c>
    </row>
    <row r="26" spans="1:5" x14ac:dyDescent="0.6">
      <c r="A26" s="136"/>
      <c r="B26" s="8">
        <v>2</v>
      </c>
      <c r="C26" s="8">
        <f t="shared" si="3"/>
        <v>23.805000000000035</v>
      </c>
      <c r="D26" s="8">
        <f t="shared" si="2"/>
        <v>2.1629999999999998</v>
      </c>
      <c r="E26" s="8">
        <f t="shared" si="0"/>
        <v>0.35707500000000053</v>
      </c>
    </row>
    <row r="27" spans="1:5" x14ac:dyDescent="0.6">
      <c r="A27" s="136"/>
      <c r="B27" s="8">
        <v>3</v>
      </c>
      <c r="C27" s="8">
        <f t="shared" si="3"/>
        <v>21.642000000000035</v>
      </c>
      <c r="D27" s="8">
        <f t="shared" si="2"/>
        <v>2.1629999999999998</v>
      </c>
      <c r="E27" s="8">
        <f t="shared" si="0"/>
        <v>0.32463000000000053</v>
      </c>
    </row>
    <row r="28" spans="1:5" x14ac:dyDescent="0.6">
      <c r="A28" s="136"/>
      <c r="B28" s="8">
        <v>4</v>
      </c>
      <c r="C28" s="8">
        <f t="shared" si="3"/>
        <v>19.479000000000035</v>
      </c>
      <c r="D28" s="8">
        <f t="shared" si="2"/>
        <v>2.1629999999999998</v>
      </c>
      <c r="E28" s="8">
        <f t="shared" si="0"/>
        <v>0.29218500000000053</v>
      </c>
    </row>
    <row r="29" spans="1:5" x14ac:dyDescent="0.6">
      <c r="A29" s="136">
        <v>6</v>
      </c>
      <c r="B29" s="8">
        <v>1</v>
      </c>
      <c r="C29" s="8">
        <f t="shared" si="3"/>
        <v>17.316000000000034</v>
      </c>
      <c r="D29" s="8">
        <f t="shared" si="2"/>
        <v>2.1629999999999998</v>
      </c>
      <c r="E29" s="8">
        <f t="shared" si="0"/>
        <v>0.25974000000000053</v>
      </c>
    </row>
    <row r="30" spans="1:5" x14ac:dyDescent="0.6">
      <c r="A30" s="136"/>
      <c r="B30" s="8">
        <v>2</v>
      </c>
      <c r="C30" s="8">
        <f t="shared" si="3"/>
        <v>15.153000000000034</v>
      </c>
      <c r="D30" s="8">
        <f t="shared" si="2"/>
        <v>2.1629999999999998</v>
      </c>
      <c r="E30" s="8">
        <f t="shared" si="0"/>
        <v>0.2272950000000005</v>
      </c>
    </row>
    <row r="31" spans="1:5" x14ac:dyDescent="0.6">
      <c r="A31" s="136"/>
      <c r="B31" s="8">
        <v>3</v>
      </c>
      <c r="C31" s="8">
        <f t="shared" si="3"/>
        <v>12.990000000000034</v>
      </c>
      <c r="D31" s="8">
        <f t="shared" si="2"/>
        <v>2.1629999999999998</v>
      </c>
      <c r="E31" s="8">
        <f t="shared" si="0"/>
        <v>0.1948500000000005</v>
      </c>
    </row>
    <row r="32" spans="1:5" x14ac:dyDescent="0.6">
      <c r="A32" s="136"/>
      <c r="B32" s="8">
        <v>4</v>
      </c>
      <c r="C32" s="8">
        <f t="shared" si="3"/>
        <v>10.827000000000034</v>
      </c>
      <c r="D32" s="8">
        <f t="shared" si="2"/>
        <v>2.1629999999999998</v>
      </c>
      <c r="E32" s="8">
        <f t="shared" si="0"/>
        <v>0.16240500000000049</v>
      </c>
    </row>
    <row r="33" spans="1:5" x14ac:dyDescent="0.6">
      <c r="A33" s="136">
        <v>7</v>
      </c>
      <c r="B33" s="8">
        <v>1</v>
      </c>
      <c r="C33" s="8">
        <f t="shared" si="3"/>
        <v>8.6640000000000335</v>
      </c>
      <c r="D33" s="8">
        <f t="shared" si="2"/>
        <v>2.1629999999999998</v>
      </c>
      <c r="E33" s="8">
        <f t="shared" si="0"/>
        <v>0.12996000000000049</v>
      </c>
    </row>
    <row r="34" spans="1:5" x14ac:dyDescent="0.6">
      <c r="A34" s="136"/>
      <c r="B34" s="8">
        <v>2</v>
      </c>
      <c r="C34" s="8">
        <f t="shared" si="3"/>
        <v>6.5010000000000332</v>
      </c>
      <c r="D34" s="8">
        <f t="shared" si="2"/>
        <v>2.1629999999999998</v>
      </c>
      <c r="E34" s="8">
        <f t="shared" si="0"/>
        <v>9.751500000000049E-2</v>
      </c>
    </row>
    <row r="35" spans="1:5" x14ac:dyDescent="0.6">
      <c r="A35" s="136"/>
      <c r="B35" s="8">
        <v>3</v>
      </c>
      <c r="C35" s="8">
        <f t="shared" si="3"/>
        <v>4.3380000000000329</v>
      </c>
      <c r="D35" s="8">
        <f t="shared" si="2"/>
        <v>2.1629999999999998</v>
      </c>
      <c r="E35" s="8">
        <f t="shared" si="0"/>
        <v>6.5070000000000489E-2</v>
      </c>
    </row>
    <row r="36" spans="1:5" x14ac:dyDescent="0.6">
      <c r="A36" s="136"/>
      <c r="B36" s="8">
        <v>4</v>
      </c>
      <c r="C36" s="8">
        <f t="shared" si="3"/>
        <v>2.1750000000000331</v>
      </c>
      <c r="D36" s="72">
        <f>D4-SUM(D9:D35)</f>
        <v>2.1750000000000327</v>
      </c>
      <c r="E36" s="8">
        <f t="shared" si="0"/>
        <v>3.2625000000000494E-2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20"/>
  <sheetViews>
    <sheetView workbookViewId="0">
      <selection activeCell="B8" sqref="B8"/>
    </sheetView>
  </sheetViews>
  <sheetFormatPr defaultRowHeight="17" x14ac:dyDescent="0.6"/>
  <cols>
    <col min="1" max="1" width="35.6328125" style="6" bestFit="1" customWidth="1"/>
    <col min="2" max="2" width="17.08984375" style="6" bestFit="1" customWidth="1"/>
    <col min="3" max="3" width="14.54296875" style="6" bestFit="1" customWidth="1"/>
    <col min="4" max="4" width="15.26953125" style="6" bestFit="1" customWidth="1"/>
    <col min="5" max="10" width="14.54296875" style="6" bestFit="1" customWidth="1"/>
    <col min="11" max="11" width="12.54296875" style="6" bestFit="1" customWidth="1"/>
    <col min="12" max="16384" width="8.7265625" style="6"/>
  </cols>
  <sheetData>
    <row r="1" spans="1:10" x14ac:dyDescent="0.6">
      <c r="A1" s="5" t="s">
        <v>166</v>
      </c>
    </row>
    <row r="2" spans="1:10" x14ac:dyDescent="0.6">
      <c r="A2" s="137" t="s">
        <v>3</v>
      </c>
      <c r="B2" s="132" t="s">
        <v>48</v>
      </c>
      <c r="C2" s="132"/>
      <c r="D2" s="132"/>
      <c r="E2" s="132"/>
      <c r="F2" s="132"/>
      <c r="G2" s="132"/>
      <c r="H2" s="132"/>
      <c r="I2" s="132"/>
      <c r="J2" s="132"/>
    </row>
    <row r="3" spans="1:10" x14ac:dyDescent="0.6">
      <c r="A3" s="138"/>
      <c r="B3" s="111" t="s">
        <v>39</v>
      </c>
      <c r="C3" s="111" t="s">
        <v>40</v>
      </c>
      <c r="D3" s="111" t="s">
        <v>41</v>
      </c>
      <c r="E3" s="111" t="s">
        <v>42</v>
      </c>
      <c r="F3" s="111" t="s">
        <v>43</v>
      </c>
      <c r="G3" s="111" t="s">
        <v>44</v>
      </c>
      <c r="H3" s="111" t="s">
        <v>45</v>
      </c>
      <c r="I3" s="111" t="s">
        <v>46</v>
      </c>
      <c r="J3" s="111" t="s">
        <v>47</v>
      </c>
    </row>
    <row r="4" spans="1:10" x14ac:dyDescent="0.6">
      <c r="A4" s="8" t="s">
        <v>248</v>
      </c>
      <c r="B4" s="74">
        <v>0.7</v>
      </c>
      <c r="C4" s="74">
        <v>0.75</v>
      </c>
      <c r="D4" s="74">
        <v>0.8</v>
      </c>
      <c r="E4" s="74">
        <v>0.85</v>
      </c>
      <c r="F4" s="74">
        <v>0.9</v>
      </c>
      <c r="G4" s="74">
        <v>0.95</v>
      </c>
      <c r="H4" s="74">
        <v>1</v>
      </c>
      <c r="I4" s="74">
        <v>1</v>
      </c>
      <c r="J4" s="74">
        <v>1</v>
      </c>
    </row>
    <row r="5" spans="1:10" x14ac:dyDescent="0.6">
      <c r="A5" s="8" t="s">
        <v>278</v>
      </c>
      <c r="B5" s="52">
        <f>$B$12*B4</f>
        <v>2100000</v>
      </c>
      <c r="C5" s="52">
        <f t="shared" ref="C5:J5" si="0">$B$12*C4</f>
        <v>2250000</v>
      </c>
      <c r="D5" s="52">
        <f t="shared" si="0"/>
        <v>2400000</v>
      </c>
      <c r="E5" s="52">
        <f t="shared" si="0"/>
        <v>2550000</v>
      </c>
      <c r="F5" s="52">
        <f t="shared" si="0"/>
        <v>2700000</v>
      </c>
      <c r="G5" s="52">
        <f t="shared" si="0"/>
        <v>2850000</v>
      </c>
      <c r="H5" s="52">
        <f t="shared" si="0"/>
        <v>3000000</v>
      </c>
      <c r="I5" s="52">
        <f t="shared" si="0"/>
        <v>3000000</v>
      </c>
      <c r="J5" s="52">
        <f t="shared" si="0"/>
        <v>3000000</v>
      </c>
    </row>
    <row r="6" spans="1:10" x14ac:dyDescent="0.6">
      <c r="A6" s="8" t="s">
        <v>279</v>
      </c>
      <c r="B6" s="52">
        <f>$B$13*B4</f>
        <v>700000</v>
      </c>
      <c r="C6" s="52">
        <f t="shared" ref="C6:J6" si="1">$B$13*C4</f>
        <v>750000</v>
      </c>
      <c r="D6" s="52">
        <f t="shared" si="1"/>
        <v>800000</v>
      </c>
      <c r="E6" s="52">
        <f t="shared" si="1"/>
        <v>850000</v>
      </c>
      <c r="F6" s="52">
        <f t="shared" si="1"/>
        <v>900000</v>
      </c>
      <c r="G6" s="52">
        <f t="shared" si="1"/>
        <v>950000</v>
      </c>
      <c r="H6" s="52">
        <f t="shared" si="1"/>
        <v>1000000</v>
      </c>
      <c r="I6" s="52">
        <f t="shared" si="1"/>
        <v>1000000</v>
      </c>
      <c r="J6" s="52">
        <f t="shared" si="1"/>
        <v>1000000</v>
      </c>
    </row>
    <row r="7" spans="1:10" x14ac:dyDescent="0.6">
      <c r="A7" s="8" t="s">
        <v>280</v>
      </c>
      <c r="B7" s="52">
        <f>B5*$C$17</f>
        <v>2625000</v>
      </c>
      <c r="C7" s="52">
        <f>C5*$C$17*1.1</f>
        <v>3093750.0000000005</v>
      </c>
      <c r="D7" s="52">
        <f t="shared" ref="D7:J7" si="2">D5*$C$17*1.1</f>
        <v>3300000.0000000005</v>
      </c>
      <c r="E7" s="52">
        <f t="shared" si="2"/>
        <v>3506250.0000000005</v>
      </c>
      <c r="F7" s="52">
        <f t="shared" si="2"/>
        <v>3712500.0000000005</v>
      </c>
      <c r="G7" s="52">
        <f t="shared" si="2"/>
        <v>3918750.0000000005</v>
      </c>
      <c r="H7" s="52">
        <f t="shared" si="2"/>
        <v>4125000.0000000005</v>
      </c>
      <c r="I7" s="52">
        <f t="shared" si="2"/>
        <v>4125000.0000000005</v>
      </c>
      <c r="J7" s="52">
        <f t="shared" si="2"/>
        <v>4125000.0000000005</v>
      </c>
    </row>
    <row r="8" spans="1:10" x14ac:dyDescent="0.6">
      <c r="A8" s="8" t="s">
        <v>281</v>
      </c>
      <c r="B8" s="80">
        <f>B6*$C$18</f>
        <v>7000000</v>
      </c>
      <c r="C8" s="80">
        <f>C6*$C$18*1.05</f>
        <v>7875000</v>
      </c>
      <c r="D8" s="80">
        <f t="shared" ref="D8:J8" si="3">D6*$C$18*1.05</f>
        <v>8400000</v>
      </c>
      <c r="E8" s="80">
        <f t="shared" si="3"/>
        <v>8925000</v>
      </c>
      <c r="F8" s="80">
        <f t="shared" si="3"/>
        <v>9450000</v>
      </c>
      <c r="G8" s="80">
        <f t="shared" si="3"/>
        <v>9975000</v>
      </c>
      <c r="H8" s="80">
        <f t="shared" si="3"/>
        <v>10500000</v>
      </c>
      <c r="I8" s="80">
        <f t="shared" si="3"/>
        <v>10500000</v>
      </c>
      <c r="J8" s="80">
        <f t="shared" si="3"/>
        <v>10500000</v>
      </c>
    </row>
    <row r="9" spans="1:10" x14ac:dyDescent="0.6">
      <c r="B9" s="29"/>
      <c r="C9" s="29"/>
      <c r="D9" s="29"/>
      <c r="E9" s="29"/>
      <c r="F9" s="29"/>
      <c r="G9" s="29"/>
      <c r="H9" s="29"/>
      <c r="I9" s="29"/>
      <c r="J9" s="29"/>
    </row>
    <row r="10" spans="1:10" x14ac:dyDescent="0.6">
      <c r="A10" s="5" t="s">
        <v>167</v>
      </c>
    </row>
    <row r="12" spans="1:10" x14ac:dyDescent="0.6">
      <c r="A12" s="6" t="s">
        <v>272</v>
      </c>
      <c r="B12" s="81">
        <f>3000*1000</f>
        <v>3000000</v>
      </c>
      <c r="C12" s="6" t="s">
        <v>277</v>
      </c>
    </row>
    <row r="13" spans="1:10" x14ac:dyDescent="0.6">
      <c r="A13" s="6" t="s">
        <v>273</v>
      </c>
      <c r="B13" s="81">
        <f>1000*1000</f>
        <v>1000000</v>
      </c>
      <c r="C13" s="6" t="s">
        <v>277</v>
      </c>
    </row>
    <row r="14" spans="1:10" x14ac:dyDescent="0.6">
      <c r="A14" s="6" t="s">
        <v>249</v>
      </c>
      <c r="B14" s="81" t="s">
        <v>250</v>
      </c>
    </row>
    <row r="16" spans="1:10" s="102" customFormat="1" ht="34" x14ac:dyDescent="0.35">
      <c r="A16" s="100" t="s">
        <v>168</v>
      </c>
      <c r="B16" s="101" t="s">
        <v>169</v>
      </c>
      <c r="C16" s="101" t="s">
        <v>276</v>
      </c>
      <c r="D16" s="100" t="s">
        <v>284</v>
      </c>
    </row>
    <row r="17" spans="1:4" s="97" customFormat="1" x14ac:dyDescent="0.35">
      <c r="A17" s="95" t="s">
        <v>274</v>
      </c>
      <c r="B17" s="98">
        <f>B12</f>
        <v>3000000</v>
      </c>
      <c r="C17" s="99">
        <v>1.25</v>
      </c>
      <c r="D17" s="96" t="s">
        <v>283</v>
      </c>
    </row>
    <row r="18" spans="1:4" x14ac:dyDescent="0.6">
      <c r="A18" s="8" t="s">
        <v>275</v>
      </c>
      <c r="B18" s="98">
        <f>B13</f>
        <v>1000000</v>
      </c>
      <c r="C18" s="8">
        <v>10</v>
      </c>
      <c r="D18" s="8" t="s">
        <v>282</v>
      </c>
    </row>
    <row r="20" spans="1:4" x14ac:dyDescent="0.6">
      <c r="A20" s="6" t="s">
        <v>286</v>
      </c>
    </row>
  </sheetData>
  <mergeCells count="2">
    <mergeCell ref="B2:J2"/>
    <mergeCell ref="A2:A3"/>
  </mergeCells>
  <pageMargins left="0.7" right="0.7" top="0.75" bottom="0.75" header="0.3" footer="0.3"/>
  <pageSetup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1"/>
  <sheetViews>
    <sheetView workbookViewId="0">
      <selection activeCell="C5" sqref="C5"/>
    </sheetView>
  </sheetViews>
  <sheetFormatPr defaultRowHeight="17" x14ac:dyDescent="0.6"/>
  <cols>
    <col min="1" max="1" width="41.1796875" style="94" bestFit="1" customWidth="1"/>
    <col min="2" max="2" width="14.7265625" style="94" customWidth="1"/>
    <col min="3" max="11" width="14.7265625" style="94" bestFit="1" customWidth="1"/>
    <col min="12" max="12" width="13.6328125" style="94" bestFit="1" customWidth="1"/>
    <col min="13" max="16384" width="8.7265625" style="94"/>
  </cols>
  <sheetData>
    <row r="1" spans="1:11" x14ac:dyDescent="0.6">
      <c r="A1" s="103" t="s">
        <v>176</v>
      </c>
      <c r="B1" s="103"/>
    </row>
    <row r="2" spans="1:11" x14ac:dyDescent="0.6">
      <c r="A2" s="103"/>
      <c r="B2" s="103"/>
    </row>
    <row r="3" spans="1:11" x14ac:dyDescent="0.6">
      <c r="A3" s="124" t="s">
        <v>3</v>
      </c>
      <c r="B3" s="124">
        <v>0</v>
      </c>
      <c r="C3" s="124" t="s">
        <v>39</v>
      </c>
      <c r="D3" s="124" t="s">
        <v>40</v>
      </c>
      <c r="E3" s="124" t="s">
        <v>41</v>
      </c>
      <c r="F3" s="124" t="s">
        <v>42</v>
      </c>
      <c r="G3" s="124" t="s">
        <v>43</v>
      </c>
      <c r="H3" s="124" t="s">
        <v>44</v>
      </c>
      <c r="I3" s="124" t="s">
        <v>45</v>
      </c>
      <c r="J3" s="124" t="s">
        <v>46</v>
      </c>
      <c r="K3" s="124" t="s">
        <v>47</v>
      </c>
    </row>
    <row r="4" spans="1:11" x14ac:dyDescent="0.6">
      <c r="A4" s="104" t="s">
        <v>160</v>
      </c>
      <c r="B4" s="105">
        <f>'Ann 2'!C7*100000</f>
        <v>450000</v>
      </c>
      <c r="C4" s="105">
        <f>B20</f>
        <v>450000</v>
      </c>
      <c r="D4" s="105">
        <f>C20</f>
        <v>1012647.6299999999</v>
      </c>
      <c r="E4" s="105">
        <f t="shared" ref="E4:K4" si="0">D20</f>
        <v>1426718.1574545451</v>
      </c>
      <c r="F4" s="105">
        <f t="shared" si="0"/>
        <v>1876982.7933581811</v>
      </c>
      <c r="G4" s="105">
        <f t="shared" si="0"/>
        <v>2338123.3790396145</v>
      </c>
      <c r="H4" s="105">
        <f t="shared" si="0"/>
        <v>2816955.4591137962</v>
      </c>
      <c r="I4" s="105">
        <f t="shared" si="0"/>
        <v>3319183.1147417417</v>
      </c>
      <c r="J4" s="105">
        <f t="shared" si="0"/>
        <v>3848338.9299019366</v>
      </c>
      <c r="K4" s="105">
        <f t="shared" si="0"/>
        <v>5241024.1615063101</v>
      </c>
    </row>
    <row r="5" spans="1:11" x14ac:dyDescent="0.6">
      <c r="A5" s="104" t="s">
        <v>199</v>
      </c>
      <c r="B5" s="105">
        <f>'Ann 5'!C17</f>
        <v>675000</v>
      </c>
      <c r="C5" s="105">
        <v>0</v>
      </c>
      <c r="D5" s="105">
        <v>0</v>
      </c>
      <c r="E5" s="105">
        <v>0</v>
      </c>
      <c r="F5" s="105">
        <v>0</v>
      </c>
      <c r="G5" s="105">
        <v>0</v>
      </c>
      <c r="H5" s="105">
        <v>0</v>
      </c>
      <c r="I5" s="105">
        <v>0</v>
      </c>
      <c r="J5" s="105">
        <v>0</v>
      </c>
      <c r="K5" s="105">
        <v>0</v>
      </c>
    </row>
    <row r="6" spans="1:11" x14ac:dyDescent="0.6">
      <c r="A6" s="104" t="s">
        <v>200</v>
      </c>
      <c r="B6" s="105">
        <f>'Ann 2'!C6*100000</f>
        <v>5625000</v>
      </c>
      <c r="C6" s="105">
        <v>0</v>
      </c>
      <c r="D6" s="105">
        <v>0</v>
      </c>
      <c r="E6" s="105">
        <v>0</v>
      </c>
      <c r="F6" s="105">
        <v>0</v>
      </c>
      <c r="G6" s="105">
        <v>0</v>
      </c>
      <c r="H6" s="105">
        <v>0</v>
      </c>
      <c r="I6" s="105">
        <v>0</v>
      </c>
      <c r="J6" s="105">
        <v>0</v>
      </c>
      <c r="K6" s="105">
        <v>0</v>
      </c>
    </row>
    <row r="7" spans="1:11" x14ac:dyDescent="0.6">
      <c r="A7" s="104" t="s">
        <v>201</v>
      </c>
      <c r="B7" s="105">
        <f>'Ann 9'!F6*100000</f>
        <v>6249000</v>
      </c>
      <c r="C7" s="105">
        <v>0</v>
      </c>
      <c r="D7" s="105">
        <v>0</v>
      </c>
      <c r="E7" s="105">
        <v>0</v>
      </c>
      <c r="F7" s="105">
        <v>0</v>
      </c>
      <c r="G7" s="105">
        <v>0</v>
      </c>
      <c r="H7" s="105">
        <v>0</v>
      </c>
      <c r="I7" s="105">
        <v>0</v>
      </c>
      <c r="J7" s="105">
        <v>0</v>
      </c>
      <c r="K7" s="105">
        <v>0</v>
      </c>
    </row>
    <row r="8" spans="1:11" x14ac:dyDescent="0.6">
      <c r="A8" s="104" t="s">
        <v>161</v>
      </c>
      <c r="B8" s="105"/>
      <c r="C8" s="105">
        <f>'Ann 4'!C19-'Ann 5'!C12</f>
        <v>8750000</v>
      </c>
      <c r="D8" s="105">
        <f>'Ann 4'!D19-'Ann 5'!D12</f>
        <v>9971590.9090909082</v>
      </c>
      <c r="E8" s="105">
        <f>'Ann 4'!E19-'Ann 5'!E12</f>
        <v>10636363.636363637</v>
      </c>
      <c r="F8" s="105">
        <f>'Ann 4'!F19-'Ann 5'!F12</f>
        <v>11301136.363636363</v>
      </c>
      <c r="G8" s="105">
        <f>'Ann 4'!G19-'Ann 5'!G12</f>
        <v>11965909.09090909</v>
      </c>
      <c r="H8" s="105">
        <f>'Ann 4'!H19-'Ann 5'!H12</f>
        <v>12630681.818181818</v>
      </c>
      <c r="I8" s="105">
        <f>'Ann 4'!I19-'Ann 5'!I12</f>
        <v>13295454.545454545</v>
      </c>
      <c r="J8" s="105">
        <f>'Ann 4'!J19-'Ann 5'!J12</f>
        <v>13295454.545454545</v>
      </c>
      <c r="K8" s="105">
        <f>'Ann 4'!K19-'Ann 5'!K12</f>
        <v>13295454.545454545</v>
      </c>
    </row>
    <row r="9" spans="1:11" x14ac:dyDescent="0.6">
      <c r="A9" s="104" t="s">
        <v>177</v>
      </c>
      <c r="B9" s="105">
        <v>0</v>
      </c>
      <c r="C9" s="105">
        <v>0</v>
      </c>
      <c r="D9" s="105">
        <f>'Ann 5'!C23</f>
        <v>505520</v>
      </c>
      <c r="E9" s="105">
        <f>'Ann 5'!D23</f>
        <v>565270.03636363638</v>
      </c>
      <c r="F9" s="105">
        <f>'Ann 5'!E23</f>
        <v>603509.39345454541</v>
      </c>
      <c r="G9" s="105">
        <f>'Ann 5'!F23</f>
        <v>642564.14190545457</v>
      </c>
      <c r="H9" s="105">
        <f>'Ann 5'!G23</f>
        <v>682491.35911156377</v>
      </c>
      <c r="I9" s="105">
        <f>'Ann 5'!H23</f>
        <v>723352.11788573675</v>
      </c>
      <c r="J9" s="105">
        <f>'Ann 5'!I23</f>
        <v>765211.76613773848</v>
      </c>
      <c r="K9" s="105">
        <f>'Ann 5'!J23</f>
        <v>781549.31704010733</v>
      </c>
    </row>
    <row r="10" spans="1:11" x14ac:dyDescent="0.6">
      <c r="A10" s="104" t="s">
        <v>178</v>
      </c>
      <c r="B10" s="105">
        <v>0</v>
      </c>
      <c r="C10" s="105">
        <v>0</v>
      </c>
      <c r="D10" s="105">
        <f>'Ann 5'!C12</f>
        <v>875000</v>
      </c>
      <c r="E10" s="105">
        <f>'Ann 5'!D12</f>
        <v>997159.09090909094</v>
      </c>
      <c r="F10" s="105">
        <f>'Ann 5'!E12</f>
        <v>1063636.3636363635</v>
      </c>
      <c r="G10" s="105">
        <f>'Ann 5'!F12</f>
        <v>1130113.6363636365</v>
      </c>
      <c r="H10" s="105">
        <f>'Ann 5'!G12</f>
        <v>1196590.9090909092</v>
      </c>
      <c r="I10" s="105">
        <f>'Ann 5'!H12</f>
        <v>1263068.1818181819</v>
      </c>
      <c r="J10" s="105">
        <f>'Ann 5'!I12</f>
        <v>1329545.4545454546</v>
      </c>
      <c r="K10" s="105">
        <f>'Ann 5'!J12</f>
        <v>1329545.4545454546</v>
      </c>
    </row>
    <row r="11" spans="1:11" x14ac:dyDescent="0.6">
      <c r="A11" s="104" t="s">
        <v>179</v>
      </c>
      <c r="B11" s="105">
        <v>0</v>
      </c>
      <c r="C11" s="105">
        <f>'Ann 4'!C11+'Ann 4'!C16-'Ann 5'!C23</f>
        <v>3889820</v>
      </c>
      <c r="D11" s="105">
        <f>'Ann 4'!D11+'Ann 4'!D16-'Ann 5'!D23</f>
        <v>4513444.163636364</v>
      </c>
      <c r="E11" s="105">
        <f>'Ann 4'!E11+'Ann 4'!E16-'Ann 5'!E23</f>
        <v>4743007.7205454549</v>
      </c>
      <c r="F11" s="105">
        <f>'Ann 4'!F11+'Ann 4'!F16-'Ann 5'!F23</f>
        <v>4979114.8610745454</v>
      </c>
      <c r="G11" s="105">
        <f>'Ann 4'!G11+'Ann 4'!G16-'Ann 5'!G23</f>
        <v>5222166.1496270373</v>
      </c>
      <c r="H11" s="105">
        <f>'Ann 4'!H11+'Ann 4'!H16-'Ann 5'!H23</f>
        <v>5472587.3157920651</v>
      </c>
      <c r="I11" s="105">
        <f>'Ann 4'!I11+'Ann 4'!I16-'Ann 5'!I23</f>
        <v>5730830.8721913854</v>
      </c>
      <c r="J11" s="105">
        <f>'Ann 4'!J11+'Ann 4'!J16-'Ann 5'!J23</f>
        <v>5807363.7263478115</v>
      </c>
      <c r="K11" s="105">
        <f>'Ann 4'!K11+'Ann 4'!K16-'Ann 5'!K23</f>
        <v>5889193.6027932717</v>
      </c>
    </row>
    <row r="12" spans="1:11" x14ac:dyDescent="0.6">
      <c r="A12" s="104" t="s">
        <v>251</v>
      </c>
      <c r="B12" s="105">
        <f>'Ann 1'!C33*100000</f>
        <v>51000</v>
      </c>
      <c r="C12" s="105">
        <v>0</v>
      </c>
      <c r="D12" s="105"/>
      <c r="E12" s="105"/>
      <c r="F12" s="105"/>
      <c r="G12" s="105"/>
      <c r="H12" s="105"/>
      <c r="I12" s="105"/>
      <c r="J12" s="105"/>
      <c r="K12" s="105"/>
    </row>
    <row r="13" spans="1:11" x14ac:dyDescent="0.6">
      <c r="A13" s="104" t="s">
        <v>162</v>
      </c>
      <c r="B13" s="105">
        <v>0</v>
      </c>
      <c r="C13" s="105">
        <f>'Ann 4'!C25</f>
        <v>379255.5</v>
      </c>
      <c r="D13" s="105">
        <f>'Ann 4'!D25</f>
        <v>337077.00000000006</v>
      </c>
      <c r="E13" s="105">
        <f>'Ann 4'!E25</f>
        <v>285165.00000000012</v>
      </c>
      <c r="F13" s="105">
        <f>'Ann 4'!F25</f>
        <v>233253.00000000023</v>
      </c>
      <c r="G13" s="105">
        <f>'Ann 4'!G25</f>
        <v>181341.0000000002</v>
      </c>
      <c r="H13" s="105">
        <f>'Ann 4'!H25</f>
        <v>129429.0000000002</v>
      </c>
      <c r="I13" s="105">
        <f>'Ann 4'!I25</f>
        <v>77517.000000000204</v>
      </c>
      <c r="J13" s="105">
        <f>'Ann 4'!J25</f>
        <v>45000</v>
      </c>
      <c r="K13" s="105">
        <f>'Ann 4'!K25</f>
        <v>45000</v>
      </c>
    </row>
    <row r="14" spans="1:11" x14ac:dyDescent="0.6">
      <c r="A14" s="104"/>
      <c r="B14" s="105">
        <f>B4+B8-B9+B10-B11-B13+B5+B6-B7-B12</f>
        <v>450000</v>
      </c>
      <c r="C14" s="105">
        <f t="shared" ref="C14:K14" si="1">C4+C8-C9+C10-C11-C13+C5+C6-C7-C12</f>
        <v>4930924.5</v>
      </c>
      <c r="D14" s="105">
        <f t="shared" si="1"/>
        <v>6503197.375454545</v>
      </c>
      <c r="E14" s="105">
        <f t="shared" si="1"/>
        <v>7466798.1278181812</v>
      </c>
      <c r="F14" s="105">
        <f t="shared" si="1"/>
        <v>8425878.2661018148</v>
      </c>
      <c r="G14" s="105">
        <f t="shared" si="1"/>
        <v>9388074.8147798497</v>
      </c>
      <c r="H14" s="105">
        <f t="shared" si="1"/>
        <v>10359720.511482894</v>
      </c>
      <c r="I14" s="105">
        <f t="shared" si="1"/>
        <v>11346005.851937346</v>
      </c>
      <c r="J14" s="105">
        <f t="shared" si="1"/>
        <v>11855763.437416386</v>
      </c>
      <c r="K14" s="105">
        <f t="shared" si="1"/>
        <v>13150281.241672929</v>
      </c>
    </row>
    <row r="15" spans="1:11" x14ac:dyDescent="0.6">
      <c r="A15" s="104" t="s">
        <v>181</v>
      </c>
      <c r="B15" s="105">
        <v>0</v>
      </c>
      <c r="C15" s="105">
        <f>'Ann 4'!C31</f>
        <v>1230166.3499999999</v>
      </c>
      <c r="D15" s="105">
        <f>'Ann 4'!D31</f>
        <v>1469050.89</v>
      </c>
      <c r="E15" s="105">
        <f>'Ann 4'!E31</f>
        <v>1648121.6283</v>
      </c>
      <c r="F15" s="105">
        <f>'Ann 4'!F31</f>
        <v>1821821.472231</v>
      </c>
      <c r="G15" s="105">
        <f>'Ann 4'!G31</f>
        <v>1990436.9845346697</v>
      </c>
      <c r="H15" s="105">
        <f>'Ann 4'!H31</f>
        <v>2154187.4639794719</v>
      </c>
      <c r="I15" s="105">
        <f>'Ann 4'!I31</f>
        <v>2313232.6472216533</v>
      </c>
      <c r="J15" s="105">
        <f>'Ann 4'!J31</f>
        <v>2307467.1892709564</v>
      </c>
      <c r="K15" s="105">
        <f>'Ann 4'!K31</f>
        <v>2288462.287092058</v>
      </c>
    </row>
    <row r="16" spans="1:11" x14ac:dyDescent="0.6">
      <c r="A16" s="104"/>
      <c r="B16" s="105">
        <v>0</v>
      </c>
      <c r="C16" s="105">
        <f>C14-C15</f>
        <v>3700758.1500000004</v>
      </c>
      <c r="D16" s="105">
        <f t="shared" ref="D16:K16" si="2">D14-D15</f>
        <v>5034146.4854545454</v>
      </c>
      <c r="E16" s="105">
        <f t="shared" si="2"/>
        <v>5818676.4995181812</v>
      </c>
      <c r="F16" s="105">
        <f t="shared" si="2"/>
        <v>6604056.7938708151</v>
      </c>
      <c r="G16" s="105">
        <f t="shared" si="2"/>
        <v>7397637.8302451801</v>
      </c>
      <c r="H16" s="105">
        <f t="shared" si="2"/>
        <v>8205533.0475034229</v>
      </c>
      <c r="I16" s="105">
        <f t="shared" si="2"/>
        <v>9032773.2047156934</v>
      </c>
      <c r="J16" s="105">
        <f t="shared" si="2"/>
        <v>9548296.2481454294</v>
      </c>
      <c r="K16" s="105">
        <f t="shared" si="2"/>
        <v>10861818.954580871</v>
      </c>
    </row>
    <row r="17" spans="1:12" x14ac:dyDescent="0.6">
      <c r="A17" s="104" t="s">
        <v>180</v>
      </c>
      <c r="B17" s="105">
        <v>0</v>
      </c>
      <c r="C17" s="105">
        <f>'Ann 4'!C33</f>
        <v>2255510.5200000005</v>
      </c>
      <c r="D17" s="105">
        <f>'Ann 4'!D33</f>
        <v>2742228.3280000002</v>
      </c>
      <c r="E17" s="105">
        <f>'Ann 4'!E33</f>
        <v>3076493.7061600001</v>
      </c>
      <c r="F17" s="105">
        <f>'Ann 4'!F33</f>
        <v>3400733.4148312006</v>
      </c>
      <c r="G17" s="105">
        <f>'Ann 4'!G33</f>
        <v>3715482.3711313838</v>
      </c>
      <c r="H17" s="105">
        <f>'Ann 4'!H33</f>
        <v>4021149.9327616813</v>
      </c>
      <c r="I17" s="105">
        <f>'Ann 4'!I33</f>
        <v>4318034.2748137536</v>
      </c>
      <c r="J17" s="105">
        <f>'Ann 4'!J33</f>
        <v>4307272.0866391193</v>
      </c>
      <c r="K17" s="105">
        <f>'Ann 4'!K33</f>
        <v>4271796.2692385083</v>
      </c>
    </row>
    <row r="18" spans="1:12" x14ac:dyDescent="0.6">
      <c r="A18" s="104"/>
      <c r="B18" s="105">
        <v>0</v>
      </c>
      <c r="C18" s="105">
        <f>C16-C17</f>
        <v>1445247.63</v>
      </c>
      <c r="D18" s="105">
        <f t="shared" ref="D18:K18" si="3">D16-D17</f>
        <v>2291918.1574545451</v>
      </c>
      <c r="E18" s="105">
        <f t="shared" si="3"/>
        <v>2742182.7933581811</v>
      </c>
      <c r="F18" s="105">
        <f t="shared" si="3"/>
        <v>3203323.3790396145</v>
      </c>
      <c r="G18" s="105">
        <f t="shared" si="3"/>
        <v>3682155.4591137962</v>
      </c>
      <c r="H18" s="105">
        <f t="shared" si="3"/>
        <v>4184383.1147417417</v>
      </c>
      <c r="I18" s="105">
        <f t="shared" si="3"/>
        <v>4714738.9299019398</v>
      </c>
      <c r="J18" s="105">
        <f t="shared" si="3"/>
        <v>5241024.1615063101</v>
      </c>
      <c r="K18" s="105">
        <f t="shared" si="3"/>
        <v>6590022.6853423631</v>
      </c>
    </row>
    <row r="19" spans="1:12" x14ac:dyDescent="0.6">
      <c r="A19" s="104" t="s">
        <v>182</v>
      </c>
      <c r="B19" s="105">
        <v>0</v>
      </c>
      <c r="C19" s="105">
        <f>SUM('Ann 13'!D9:D12)*100000</f>
        <v>432599.99999999994</v>
      </c>
      <c r="D19" s="105">
        <f>SUM('Ann 13'!D13:D16)*100000</f>
        <v>865199.99999999988</v>
      </c>
      <c r="E19" s="105">
        <f>SUM('Ann 13'!D17:D20)*100000</f>
        <v>865199.99999999988</v>
      </c>
      <c r="F19" s="105">
        <f>SUM('Ann 13'!D21:D24)*100000</f>
        <v>865199.99999999988</v>
      </c>
      <c r="G19" s="105">
        <f>SUM('Ann 13'!D25:D28)*100000</f>
        <v>865199.99999999988</v>
      </c>
      <c r="H19" s="105">
        <f>SUM('Ann 13'!D29:D32)*100000</f>
        <v>865199.99999999988</v>
      </c>
      <c r="I19" s="105">
        <f>SUM('Ann 13'!D33:D36)*100000</f>
        <v>866400.00000000314</v>
      </c>
      <c r="J19" s="105">
        <v>0</v>
      </c>
      <c r="K19" s="105">
        <v>0</v>
      </c>
    </row>
    <row r="20" spans="1:12" x14ac:dyDescent="0.6">
      <c r="A20" s="104" t="s">
        <v>183</v>
      </c>
      <c r="B20" s="105">
        <f>B14</f>
        <v>450000</v>
      </c>
      <c r="C20" s="105">
        <f>C18-C19</f>
        <v>1012647.6299999999</v>
      </c>
      <c r="D20" s="105">
        <f>D18-D19</f>
        <v>1426718.1574545451</v>
      </c>
      <c r="E20" s="105">
        <f>E18-E19</f>
        <v>1876982.7933581811</v>
      </c>
      <c r="F20" s="105">
        <f t="shared" ref="F20:K20" si="4">F18-F19</f>
        <v>2338123.3790396145</v>
      </c>
      <c r="G20" s="105">
        <f t="shared" si="4"/>
        <v>2816955.4591137962</v>
      </c>
      <c r="H20" s="105">
        <f t="shared" si="4"/>
        <v>3319183.1147417417</v>
      </c>
      <c r="I20" s="105">
        <f t="shared" si="4"/>
        <v>3848338.9299019366</v>
      </c>
      <c r="J20" s="105">
        <f t="shared" si="4"/>
        <v>5241024.1615063101</v>
      </c>
      <c r="K20" s="105">
        <f t="shared" si="4"/>
        <v>6590022.6853423631</v>
      </c>
    </row>
    <row r="22" spans="1:12" x14ac:dyDescent="0.6">
      <c r="A22" s="106" t="s">
        <v>184</v>
      </c>
      <c r="B22" s="107">
        <v>0.06</v>
      </c>
      <c r="C22" s="108"/>
      <c r="D22" s="106"/>
      <c r="E22" s="106"/>
      <c r="F22" s="106"/>
      <c r="G22" s="106"/>
      <c r="H22" s="106"/>
      <c r="I22" s="106"/>
      <c r="J22" s="106"/>
      <c r="K22" s="106"/>
      <c r="L22" s="106"/>
    </row>
    <row r="23" spans="1:12" x14ac:dyDescent="0.6">
      <c r="A23" s="106" t="s">
        <v>185</v>
      </c>
      <c r="B23" s="106">
        <v>1</v>
      </c>
      <c r="C23" s="109">
        <f>1/(1+$B$22)</f>
        <v>0.94339622641509424</v>
      </c>
      <c r="D23" s="109">
        <f>1/((1+$B$22)*(1+$B$22))</f>
        <v>0.88999644001423983</v>
      </c>
      <c r="E23" s="109">
        <f>1/((1+$B$22)*(1+$B$22)*(1+$B$22))</f>
        <v>0.8396192830323016</v>
      </c>
      <c r="F23" s="109">
        <f>1/((1+$B$22)*(1+$B$22)*(1+$B$22)*(1+$B$22))</f>
        <v>0.79209366323802044</v>
      </c>
      <c r="G23" s="109">
        <f>1/((1+$B$22)*(1+$B$22)*(1+$B$22)*(1+$B$22)*(1+$B$22))</f>
        <v>0.74725817286605689</v>
      </c>
      <c r="H23" s="109">
        <f>1/((1+$B$22)*(1+$B$22)*(1+$B$22)*(1+$B$22)*(1+$B$22)*(1+$B$22))</f>
        <v>0.70496054043967626</v>
      </c>
      <c r="I23" s="109">
        <f>1/((1+$B$22)*(1+$B$22)*(1+$B$22)*(1+$B$22)*(1+$B$22)*(1+$B$22)*(1+$B$22))</f>
        <v>0.6650571136223361</v>
      </c>
      <c r="J23" s="109">
        <f>1/((1+$B$22)*(1+$B$22)*(1+$B$22)*(1+$B$22)*(1+$B$22)*(1+$B$22)*(1+$B$22)*(1+$B$22))</f>
        <v>0.62741237134182648</v>
      </c>
      <c r="K23" s="109">
        <f>1/((1+$B$22)*(1+$B$22)*(1+$B$22)*(1+$B$22)*(1+$B$22)*(1+$B$22)*(1+$B$22)*(1+$B$22)*(1+$B$22))</f>
        <v>0.59189846353002495</v>
      </c>
      <c r="L23" s="106"/>
    </row>
    <row r="24" spans="1:12" x14ac:dyDescent="0.6">
      <c r="A24" s="106" t="s">
        <v>186</v>
      </c>
      <c r="B24" s="106">
        <f>B4+B8+B10+B5+B6</f>
        <v>6750000</v>
      </c>
      <c r="C24" s="106">
        <f>C4+C8+C10+C5+C6</f>
        <v>9200000</v>
      </c>
      <c r="D24" s="106">
        <f t="shared" ref="D24:K24" si="5">D4+D8+D10</f>
        <v>11859238.539090909</v>
      </c>
      <c r="E24" s="106">
        <f t="shared" si="5"/>
        <v>13060240.884727273</v>
      </c>
      <c r="F24" s="106">
        <f t="shared" si="5"/>
        <v>14241755.520630907</v>
      </c>
      <c r="G24" s="106">
        <f t="shared" si="5"/>
        <v>15434146.106312342</v>
      </c>
      <c r="H24" s="106">
        <f t="shared" si="5"/>
        <v>16644228.186386526</v>
      </c>
      <c r="I24" s="106">
        <f t="shared" si="5"/>
        <v>17877705.842014469</v>
      </c>
      <c r="J24" s="106">
        <f t="shared" si="5"/>
        <v>18473338.929901935</v>
      </c>
      <c r="K24" s="106">
        <f t="shared" si="5"/>
        <v>19866024.16150631</v>
      </c>
      <c r="L24" s="106"/>
    </row>
    <row r="25" spans="1:12" x14ac:dyDescent="0.6">
      <c r="A25" s="106" t="s">
        <v>187</v>
      </c>
      <c r="B25" s="106">
        <f>B24*B23</f>
        <v>6750000</v>
      </c>
      <c r="C25" s="106">
        <f>C24*C23</f>
        <v>8679245.2830188666</v>
      </c>
      <c r="D25" s="106">
        <f t="shared" ref="D25:K25" si="6">D24*D23</f>
        <v>10554680.081070583</v>
      </c>
      <c r="E25" s="106">
        <f t="shared" si="6"/>
        <v>10965630.087863866</v>
      </c>
      <c r="F25" s="106">
        <f t="shared" si="6"/>
        <v>11280804.301276837</v>
      </c>
      <c r="G25" s="106">
        <f t="shared" si="6"/>
        <v>11533291.819150727</v>
      </c>
      <c r="H25" s="106">
        <f t="shared" si="6"/>
        <v>11733524.097476337</v>
      </c>
      <c r="I25" s="106">
        <f t="shared" si="6"/>
        <v>11889695.445479318</v>
      </c>
      <c r="J25" s="106">
        <f t="shared" si="6"/>
        <v>11590401.384611052</v>
      </c>
      <c r="K25" s="106">
        <f t="shared" si="6"/>
        <v>11758669.177645937</v>
      </c>
      <c r="L25" s="106"/>
    </row>
    <row r="26" spans="1:12" x14ac:dyDescent="0.6">
      <c r="A26" s="106" t="s">
        <v>188</v>
      </c>
      <c r="B26" s="106">
        <f>B9+B11+B13+B15+B17+B19+B7+B12</f>
        <v>6300000</v>
      </c>
      <c r="C26" s="106">
        <f t="shared" ref="C26:K26" si="7">C9+C11+C13+C15+C17+C19+C7+C12</f>
        <v>8187352.3700000001</v>
      </c>
      <c r="D26" s="106">
        <f t="shared" si="7"/>
        <v>10432520.381636364</v>
      </c>
      <c r="E26" s="106">
        <f t="shared" si="7"/>
        <v>11183258.091369091</v>
      </c>
      <c r="F26" s="106">
        <f t="shared" si="7"/>
        <v>11903632.141591292</v>
      </c>
      <c r="G26" s="106">
        <f t="shared" si="7"/>
        <v>12617190.647198547</v>
      </c>
      <c r="H26" s="106">
        <f t="shared" si="7"/>
        <v>13325045.071644783</v>
      </c>
      <c r="I26" s="106">
        <f t="shared" si="7"/>
        <v>14029366.912112534</v>
      </c>
      <c r="J26" s="106">
        <f t="shared" si="7"/>
        <v>13232314.768395627</v>
      </c>
      <c r="K26" s="106">
        <f t="shared" si="7"/>
        <v>13276001.476163946</v>
      </c>
      <c r="L26" s="106"/>
    </row>
    <row r="27" spans="1:12" x14ac:dyDescent="0.6">
      <c r="A27" s="106" t="s">
        <v>189</v>
      </c>
      <c r="B27" s="106">
        <f>B26*B23</f>
        <v>6300000</v>
      </c>
      <c r="C27" s="106">
        <f>C26*C23</f>
        <v>7723917.3301886786</v>
      </c>
      <c r="D27" s="106">
        <f t="shared" ref="D27:K27" si="8">D26*D23</f>
        <v>9284906.0000323635</v>
      </c>
      <c r="E27" s="106">
        <f t="shared" si="8"/>
        <v>9389679.1406405009</v>
      </c>
      <c r="F27" s="106">
        <f t="shared" si="8"/>
        <v>9428791.5888708886</v>
      </c>
      <c r="G27" s="106">
        <f t="shared" si="8"/>
        <v>9428298.8297282886</v>
      </c>
      <c r="H27" s="106">
        <f t="shared" si="8"/>
        <v>9393630.9750897512</v>
      </c>
      <c r="I27" s="106">
        <f t="shared" si="8"/>
        <v>9330330.2645182684</v>
      </c>
      <c r="J27" s="106">
        <f t="shared" si="8"/>
        <v>8302117.987180572</v>
      </c>
      <c r="K27" s="106">
        <f t="shared" si="8"/>
        <v>7858044.8755637826</v>
      </c>
      <c r="L27" s="106"/>
    </row>
    <row r="28" spans="1:12" x14ac:dyDescent="0.6">
      <c r="A28" s="106"/>
      <c r="B28" s="106"/>
      <c r="C28" s="106"/>
      <c r="D28" s="106"/>
      <c r="E28" s="106"/>
      <c r="F28" s="106"/>
      <c r="G28" s="106"/>
      <c r="H28" s="106"/>
      <c r="I28" s="106"/>
      <c r="J28" s="106"/>
      <c r="K28" s="106"/>
      <c r="L28" s="106"/>
    </row>
    <row r="29" spans="1:12" x14ac:dyDescent="0.6">
      <c r="A29" s="106" t="s">
        <v>190</v>
      </c>
      <c r="B29" s="106">
        <f>B24-B26</f>
        <v>450000</v>
      </c>
      <c r="C29" s="106">
        <f>C24-C26</f>
        <v>1012647.6299999999</v>
      </c>
      <c r="D29" s="106">
        <f>D24-D26</f>
        <v>1426718.1574545447</v>
      </c>
      <c r="E29" s="106">
        <f t="shared" ref="E29:K29" si="9">E24-E26</f>
        <v>1876982.7933581825</v>
      </c>
      <c r="F29" s="106">
        <f t="shared" si="9"/>
        <v>2338123.3790396154</v>
      </c>
      <c r="G29" s="106">
        <f t="shared" si="9"/>
        <v>2816955.4591137953</v>
      </c>
      <c r="H29" s="106">
        <f t="shared" si="9"/>
        <v>3319183.1147417426</v>
      </c>
      <c r="I29" s="106">
        <f t="shared" si="9"/>
        <v>3848338.9299019352</v>
      </c>
      <c r="J29" s="106">
        <f t="shared" si="9"/>
        <v>5241024.1615063082</v>
      </c>
      <c r="K29" s="106">
        <f t="shared" si="9"/>
        <v>6590022.685342364</v>
      </c>
      <c r="L29" s="106"/>
    </row>
    <row r="30" spans="1:12" x14ac:dyDescent="0.6">
      <c r="A30" s="106" t="s">
        <v>191</v>
      </c>
      <c r="B30" s="106">
        <f>B25-B27</f>
        <v>450000</v>
      </c>
      <c r="C30" s="106">
        <f>C29*C23</f>
        <v>955327.95283018844</v>
      </c>
      <c r="D30" s="106">
        <f t="shared" ref="D30:K30" si="10">D29*D23</f>
        <v>1269774.0810382206</v>
      </c>
      <c r="E30" s="106">
        <f t="shared" si="10"/>
        <v>1575950.9472233639</v>
      </c>
      <c r="F30" s="106">
        <f t="shared" si="10"/>
        <v>1852012.7124059475</v>
      </c>
      <c r="G30" s="106">
        <f t="shared" si="10"/>
        <v>2104992.9894224391</v>
      </c>
      <c r="H30" s="106">
        <f t="shared" si="10"/>
        <v>2339893.1223865869</v>
      </c>
      <c r="I30" s="106">
        <f t="shared" si="10"/>
        <v>2559365.1809610506</v>
      </c>
      <c r="J30" s="106">
        <f t="shared" si="10"/>
        <v>3288283.3974304805</v>
      </c>
      <c r="K30" s="106">
        <f t="shared" si="10"/>
        <v>3900624.3020821544</v>
      </c>
      <c r="L30" s="106">
        <f>SUM(B30:K30)</f>
        <v>20296224.685780432</v>
      </c>
    </row>
    <row r="31" spans="1:12" x14ac:dyDescent="0.6">
      <c r="A31" s="108"/>
      <c r="B31" s="108"/>
      <c r="C31" s="110"/>
      <c r="D31" s="110"/>
      <c r="E31" s="110"/>
      <c r="F31" s="110"/>
      <c r="G31" s="110"/>
      <c r="H31" s="108"/>
      <c r="I31" s="108"/>
      <c r="J31" s="108"/>
      <c r="K31" s="108"/>
      <c r="L31" s="108"/>
    </row>
  </sheetData>
  <pageMargins left="0.7" right="0.7"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7" x14ac:dyDescent="0.6"/>
  <cols>
    <col min="1" max="1" width="16.453125" style="6" bestFit="1" customWidth="1"/>
    <col min="2" max="16384" width="8.7265625" style="6"/>
  </cols>
  <sheetData>
    <row r="2" spans="1:10" x14ac:dyDescent="0.6">
      <c r="B2" s="6" t="s">
        <v>39</v>
      </c>
      <c r="C2" s="6" t="s">
        <v>40</v>
      </c>
      <c r="D2" s="6" t="s">
        <v>41</v>
      </c>
      <c r="E2" s="6" t="s">
        <v>42</v>
      </c>
      <c r="F2" s="6" t="s">
        <v>43</v>
      </c>
      <c r="G2" s="6" t="s">
        <v>44</v>
      </c>
      <c r="H2" s="6" t="s">
        <v>45</v>
      </c>
      <c r="I2" s="6" t="s">
        <v>46</v>
      </c>
      <c r="J2" s="6" t="s">
        <v>47</v>
      </c>
    </row>
    <row r="3" spans="1:10" x14ac:dyDescent="0.6">
      <c r="A3" s="6" t="s">
        <v>192</v>
      </c>
      <c r="B3" s="29">
        <f>'Ann 4'!C19/100000</f>
        <v>96.25</v>
      </c>
      <c r="C3" s="29">
        <f>'Ann 4'!D19/100000</f>
        <v>109.6875</v>
      </c>
      <c r="D3" s="29">
        <f>'Ann 4'!E19/100000</f>
        <v>117</v>
      </c>
      <c r="E3" s="29">
        <f>'Ann 4'!F19/100000</f>
        <v>124.3125</v>
      </c>
      <c r="F3" s="29">
        <f>'Ann 4'!G19/100000</f>
        <v>131.625</v>
      </c>
      <c r="G3" s="29">
        <f>'Ann 4'!H19/100000</f>
        <v>138.9375</v>
      </c>
      <c r="H3" s="29">
        <f>'Ann 4'!I19/100000</f>
        <v>146.25</v>
      </c>
      <c r="I3" s="29">
        <f>'Ann 4'!J19/100000</f>
        <v>146.25</v>
      </c>
      <c r="J3" s="29">
        <f>'Ann 4'!K19/100000</f>
        <v>146.25</v>
      </c>
    </row>
    <row r="4" spans="1:10" x14ac:dyDescent="0.6">
      <c r="A4" s="6" t="s">
        <v>193</v>
      </c>
      <c r="B4" s="29">
        <f>'Ann 4'!C18/100000</f>
        <v>43.953400000000002</v>
      </c>
      <c r="C4" s="29">
        <f>'Ann 4'!D18/100000</f>
        <v>50.787142000000003</v>
      </c>
      <c r="D4" s="29">
        <f>'Ann 4'!E18/100000</f>
        <v>53.465171140000002</v>
      </c>
      <c r="E4" s="29">
        <f>'Ann 4'!F18/100000</f>
        <v>56.216790029800002</v>
      </c>
      <c r="F4" s="29">
        <f>'Ann 4'!G18/100000</f>
        <v>59.046575087386003</v>
      </c>
      <c r="G4" s="29">
        <f>'Ann 4'!H18/100000</f>
        <v>61.959394336778018</v>
      </c>
      <c r="H4" s="29">
        <f>'Ann 4'!I18/100000</f>
        <v>64.960426383291235</v>
      </c>
      <c r="I4" s="29">
        <f>'Ann 4'!J18/100000</f>
        <v>65.889130433879188</v>
      </c>
      <c r="J4" s="29">
        <f>'Ann 4'!K18/100000</f>
        <v>66.882240992989139</v>
      </c>
    </row>
    <row r="5" spans="1:10" x14ac:dyDescent="0.6">
      <c r="A5" s="6" t="s">
        <v>194</v>
      </c>
      <c r="B5" s="29">
        <f>B3-B4</f>
        <v>52.296599999999998</v>
      </c>
      <c r="C5" s="29">
        <f t="shared" ref="C5:J5" si="0">C3-C4</f>
        <v>58.900357999999997</v>
      </c>
      <c r="D5" s="29">
        <f t="shared" si="0"/>
        <v>63.534828859999998</v>
      </c>
      <c r="E5" s="29">
        <f t="shared" si="0"/>
        <v>68.095709970200005</v>
      </c>
      <c r="F5" s="29">
        <f t="shared" si="0"/>
        <v>72.578424912613997</v>
      </c>
      <c r="G5" s="29">
        <f t="shared" si="0"/>
        <v>76.978105663221982</v>
      </c>
      <c r="H5" s="29">
        <f t="shared" si="0"/>
        <v>81.289573616708765</v>
      </c>
      <c r="I5" s="29">
        <f t="shared" si="0"/>
        <v>80.360869566120812</v>
      </c>
      <c r="J5" s="29">
        <f t="shared" si="0"/>
        <v>79.367759007010861</v>
      </c>
    </row>
    <row r="6" spans="1:10" x14ac:dyDescent="0.6">
      <c r="A6" s="6" t="s">
        <v>195</v>
      </c>
      <c r="B6" s="29">
        <f>B5</f>
        <v>52.296599999999998</v>
      </c>
      <c r="C6" s="29">
        <f t="shared" ref="C6:J6" si="1">C5</f>
        <v>58.900357999999997</v>
      </c>
      <c r="D6" s="29">
        <f t="shared" si="1"/>
        <v>63.534828859999998</v>
      </c>
      <c r="E6" s="29">
        <f t="shared" si="1"/>
        <v>68.095709970200005</v>
      </c>
      <c r="F6" s="29">
        <f t="shared" si="1"/>
        <v>72.578424912613997</v>
      </c>
      <c r="G6" s="29">
        <f t="shared" si="1"/>
        <v>76.978105663221982</v>
      </c>
      <c r="H6" s="29">
        <f t="shared" si="1"/>
        <v>81.289573616708765</v>
      </c>
      <c r="I6" s="29">
        <f t="shared" si="1"/>
        <v>80.360869566120812</v>
      </c>
      <c r="J6" s="29">
        <f t="shared" si="1"/>
        <v>79.367759007010861</v>
      </c>
    </row>
    <row r="7" spans="1:10" x14ac:dyDescent="0.6">
      <c r="A7" s="6" t="s">
        <v>196</v>
      </c>
      <c r="B7" s="130">
        <f>'Ann 4'!C30/100000</f>
        <v>40.495545</v>
      </c>
      <c r="C7" s="130">
        <f>'Ann 4'!D30/100000</f>
        <v>48.968362999999997</v>
      </c>
      <c r="D7" s="130">
        <f>'Ann 4'!E30/100000</f>
        <v>54.937387610000002</v>
      </c>
      <c r="E7" s="130">
        <f>'Ann 4'!F30/100000</f>
        <v>60.727382407699999</v>
      </c>
      <c r="F7" s="130">
        <f>'Ann 4'!G30/100000</f>
        <v>66.347899484488991</v>
      </c>
      <c r="G7" s="130">
        <f>'Ann 4'!H30/100000</f>
        <v>71.806248799315725</v>
      </c>
      <c r="H7" s="130">
        <f>'Ann 4'!I30/100000</f>
        <v>77.10775490738844</v>
      </c>
      <c r="I7" s="130">
        <f>'Ann 4'!J30/100000</f>
        <v>76.915572975698552</v>
      </c>
      <c r="J7" s="130">
        <f>'Ann 4'!K30/100000</f>
        <v>76.282076236401934</v>
      </c>
    </row>
    <row r="8" spans="1:10" x14ac:dyDescent="0.6">
      <c r="A8" s="6" t="s">
        <v>197</v>
      </c>
      <c r="B8" s="130">
        <f>'Ann 4'!C32/100000</f>
        <v>28.193881500000003</v>
      </c>
      <c r="C8" s="130">
        <f>'Ann 4'!D32/100000</f>
        <v>34.277854099999999</v>
      </c>
      <c r="D8" s="130">
        <f>'Ann 4'!E32/100000</f>
        <v>38.456171327</v>
      </c>
      <c r="E8" s="130">
        <f>'Ann 4'!F32/100000</f>
        <v>42.509167685390004</v>
      </c>
      <c r="F8" s="130">
        <f>'Ann 4'!G32/100000</f>
        <v>46.443529639142298</v>
      </c>
      <c r="G8" s="130">
        <f>'Ann 4'!H32/100000</f>
        <v>50.264374159521012</v>
      </c>
      <c r="H8" s="130">
        <f>'Ann 4'!I32/100000</f>
        <v>53.975428435171914</v>
      </c>
      <c r="I8" s="130">
        <f>'Ann 4'!J32/100000</f>
        <v>53.840901082988985</v>
      </c>
      <c r="J8" s="130">
        <f>'Ann 4'!K32/100000</f>
        <v>53.397453365481354</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B6" sqref="B6"/>
    </sheetView>
  </sheetViews>
  <sheetFormatPr defaultRowHeight="17" x14ac:dyDescent="0.6"/>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x14ac:dyDescent="0.6">
      <c r="A1" s="5" t="s">
        <v>216</v>
      </c>
      <c r="B1" s="5" t="s">
        <v>217</v>
      </c>
    </row>
    <row r="2" spans="1:12" x14ac:dyDescent="0.6">
      <c r="A2" s="6">
        <v>1</v>
      </c>
      <c r="B2" s="6" t="s">
        <v>306</v>
      </c>
    </row>
    <row r="3" spans="1:12" x14ac:dyDescent="0.6">
      <c r="A3" s="6">
        <v>2</v>
      </c>
      <c r="B3" s="6" t="s">
        <v>218</v>
      </c>
    </row>
    <row r="4" spans="1:12" x14ac:dyDescent="0.6">
      <c r="C4" s="6" t="s">
        <v>171</v>
      </c>
      <c r="D4" s="6">
        <v>75000</v>
      </c>
      <c r="E4" s="6">
        <f>D4*1.05</f>
        <v>78750</v>
      </c>
      <c r="F4" s="6">
        <f t="shared" ref="F4:J4" si="0">E4*1.05</f>
        <v>82687.5</v>
      </c>
      <c r="G4" s="6">
        <f t="shared" si="0"/>
        <v>86821.875</v>
      </c>
      <c r="H4" s="6">
        <f t="shared" si="0"/>
        <v>91162.96875</v>
      </c>
      <c r="I4" s="6">
        <f t="shared" si="0"/>
        <v>95721.1171875</v>
      </c>
      <c r="J4" s="6">
        <f t="shared" si="0"/>
        <v>100507.173046875</v>
      </c>
      <c r="K4" s="6">
        <f>J4</f>
        <v>100507.173046875</v>
      </c>
      <c r="L4" s="6">
        <f>K4</f>
        <v>100507.173046875</v>
      </c>
    </row>
    <row r="5" spans="1:12" x14ac:dyDescent="0.6">
      <c r="C5" s="6" t="s">
        <v>71</v>
      </c>
      <c r="D5" s="6">
        <f>D4*10</f>
        <v>750000</v>
      </c>
      <c r="E5" s="6">
        <f t="shared" ref="E5:L5" si="1">E4*14</f>
        <v>1102500</v>
      </c>
      <c r="F5" s="6">
        <f t="shared" si="1"/>
        <v>1157625</v>
      </c>
      <c r="G5" s="6">
        <f t="shared" si="1"/>
        <v>1215506.25</v>
      </c>
      <c r="H5" s="6">
        <f t="shared" si="1"/>
        <v>1276281.5625</v>
      </c>
      <c r="I5" s="6">
        <f t="shared" si="1"/>
        <v>1340095.640625</v>
      </c>
      <c r="J5" s="6">
        <f t="shared" si="1"/>
        <v>1407100.42265625</v>
      </c>
      <c r="K5" s="6">
        <f t="shared" si="1"/>
        <v>1407100.42265625</v>
      </c>
      <c r="L5" s="6">
        <f t="shared" si="1"/>
        <v>1407100.42265625</v>
      </c>
    </row>
    <row r="6" spans="1:12" x14ac:dyDescent="0.6">
      <c r="A6" s="6">
        <v>3</v>
      </c>
      <c r="B6" s="6" t="s">
        <v>244</v>
      </c>
    </row>
    <row r="7" spans="1:12" x14ac:dyDescent="0.6">
      <c r="A7" s="6">
        <v>4</v>
      </c>
      <c r="B7" s="6" t="s">
        <v>255</v>
      </c>
    </row>
    <row r="8" spans="1:12" x14ac:dyDescent="0.6">
      <c r="A8" s="6">
        <v>5</v>
      </c>
      <c r="B8" s="6" t="s">
        <v>256</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140</v>
      </c>
    </row>
    <row r="2" spans="1:11" x14ac:dyDescent="0.35">
      <c r="C2" t="s">
        <v>39</v>
      </c>
      <c r="D2" t="s">
        <v>40</v>
      </c>
      <c r="E2" t="s">
        <v>41</v>
      </c>
      <c r="F2" t="s">
        <v>42</v>
      </c>
      <c r="G2" t="s">
        <v>43</v>
      </c>
      <c r="H2" t="s">
        <v>44</v>
      </c>
      <c r="I2" t="s">
        <v>45</v>
      </c>
      <c r="J2" t="s">
        <v>46</v>
      </c>
      <c r="K2" t="s">
        <v>47</v>
      </c>
    </row>
    <row r="3" spans="1:11" x14ac:dyDescent="0.35">
      <c r="A3" t="s">
        <v>141</v>
      </c>
      <c r="C3">
        <f>'Ann 4'!C19/300*270</f>
        <v>8662500</v>
      </c>
      <c r="D3">
        <f>'Ann 4'!D19/300*270</f>
        <v>9871875</v>
      </c>
      <c r="E3">
        <f>'Ann 4'!E19/300*270</f>
        <v>10530000</v>
      </c>
      <c r="F3">
        <f>'Ann 4'!F19/300*270</f>
        <v>11188125</v>
      </c>
      <c r="G3">
        <f>'Ann 4'!G19/300*270</f>
        <v>11846250</v>
      </c>
      <c r="H3">
        <f>'Ann 4'!H19/300*270</f>
        <v>12504375</v>
      </c>
      <c r="I3">
        <f>'Ann 4'!I19/300*270</f>
        <v>13162500</v>
      </c>
      <c r="J3">
        <f>'Ann 4'!J19/300*270</f>
        <v>13162500</v>
      </c>
      <c r="K3">
        <f>'Ann 4'!K19/300*270</f>
        <v>13162500</v>
      </c>
    </row>
    <row r="4" spans="1:11" x14ac:dyDescent="0.35">
      <c r="A4" t="s">
        <v>142</v>
      </c>
      <c r="C4">
        <v>5000000</v>
      </c>
    </row>
    <row r="5" spans="1:11" x14ac:dyDescent="0.35">
      <c r="A5" t="s">
        <v>143</v>
      </c>
      <c r="C5">
        <v>21492978</v>
      </c>
    </row>
    <row r="7" spans="1:11" x14ac:dyDescent="0.35">
      <c r="A7" t="s">
        <v>144</v>
      </c>
      <c r="C7">
        <f>'Ann 3'!G18</f>
        <v>2499000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C42"/>
  <sheetViews>
    <sheetView workbookViewId="0">
      <selection activeCell="B17" sqref="B17"/>
    </sheetView>
  </sheetViews>
  <sheetFormatPr defaultRowHeight="17" x14ac:dyDescent="0.6"/>
  <cols>
    <col min="1" max="1" width="8.7265625" style="6"/>
    <col min="2" max="2" width="44.90625" style="6" customWidth="1"/>
    <col min="3" max="3" width="13.26953125" style="6" customWidth="1"/>
    <col min="4" max="16384" width="8.7265625" style="6"/>
  </cols>
  <sheetData>
    <row r="1" spans="1:3" x14ac:dyDescent="0.6">
      <c r="A1" s="5" t="s">
        <v>220</v>
      </c>
    </row>
    <row r="3" spans="1:3" x14ac:dyDescent="0.6">
      <c r="A3" s="5" t="s">
        <v>0</v>
      </c>
    </row>
    <row r="5" spans="1:3" x14ac:dyDescent="0.6">
      <c r="A5" s="21" t="s">
        <v>1</v>
      </c>
      <c r="B5" s="22"/>
      <c r="C5" s="22"/>
    </row>
    <row r="6" spans="1:3" ht="34" x14ac:dyDescent="0.6">
      <c r="A6" s="111" t="s">
        <v>2</v>
      </c>
      <c r="B6" s="111" t="s">
        <v>3</v>
      </c>
      <c r="C6" s="112" t="s">
        <v>4</v>
      </c>
    </row>
    <row r="7" spans="1:3" x14ac:dyDescent="0.6">
      <c r="A7" s="11">
        <v>1</v>
      </c>
      <c r="B7" s="12" t="s">
        <v>6</v>
      </c>
      <c r="C7" s="13"/>
    </row>
    <row r="8" spans="1:3" x14ac:dyDescent="0.6">
      <c r="A8" s="11" t="s">
        <v>5</v>
      </c>
      <c r="B8" s="12" t="s">
        <v>7</v>
      </c>
      <c r="C8" s="14">
        <v>0</v>
      </c>
    </row>
    <row r="9" spans="1:3" x14ac:dyDescent="0.6">
      <c r="A9" s="11"/>
      <c r="B9" s="12" t="s">
        <v>8</v>
      </c>
      <c r="C9" s="14">
        <f>SUM(C8)</f>
        <v>0</v>
      </c>
    </row>
    <row r="10" spans="1:3" x14ac:dyDescent="0.6">
      <c r="A10" s="11"/>
      <c r="B10" s="12"/>
      <c r="C10" s="13"/>
    </row>
    <row r="11" spans="1:3" x14ac:dyDescent="0.6">
      <c r="A11" s="11">
        <v>2</v>
      </c>
      <c r="B11" s="12" t="s">
        <v>165</v>
      </c>
      <c r="C11" s="14">
        <v>35</v>
      </c>
    </row>
    <row r="12" spans="1:3" x14ac:dyDescent="0.6">
      <c r="A12" s="11" t="s">
        <v>5</v>
      </c>
      <c r="B12" s="12" t="s">
        <v>8</v>
      </c>
      <c r="C12" s="14">
        <f>C11</f>
        <v>35</v>
      </c>
    </row>
    <row r="13" spans="1:3" x14ac:dyDescent="0.6">
      <c r="A13" s="11"/>
      <c r="B13" s="12"/>
      <c r="C13" s="13"/>
    </row>
    <row r="14" spans="1:3" x14ac:dyDescent="0.6">
      <c r="A14" s="11">
        <v>3</v>
      </c>
      <c r="B14" s="12" t="s">
        <v>9</v>
      </c>
      <c r="C14" s="13"/>
    </row>
    <row r="15" spans="1:3" x14ac:dyDescent="0.6">
      <c r="A15" s="11" t="s">
        <v>5</v>
      </c>
      <c r="B15" s="12" t="s">
        <v>9</v>
      </c>
      <c r="C15" s="15">
        <f>'Ann 3'!G5/100000</f>
        <v>2.5</v>
      </c>
    </row>
    <row r="16" spans="1:3" x14ac:dyDescent="0.6">
      <c r="A16" s="11"/>
      <c r="B16" s="12" t="s">
        <v>8</v>
      </c>
      <c r="C16" s="15">
        <f>C15</f>
        <v>2.5</v>
      </c>
    </row>
    <row r="17" spans="1:3" x14ac:dyDescent="0.6">
      <c r="A17" s="11"/>
      <c r="B17" s="12"/>
      <c r="C17" s="13"/>
    </row>
    <row r="18" spans="1:3" x14ac:dyDescent="0.6">
      <c r="A18" s="11">
        <v>4</v>
      </c>
      <c r="B18" s="12" t="s">
        <v>10</v>
      </c>
      <c r="C18" s="13"/>
    </row>
    <row r="19" spans="1:3" x14ac:dyDescent="0.6">
      <c r="A19" s="11" t="s">
        <v>5</v>
      </c>
      <c r="B19" s="12" t="s">
        <v>11</v>
      </c>
      <c r="C19" s="15">
        <f>'Ann 3'!G16/100000</f>
        <v>22.49</v>
      </c>
    </row>
    <row r="20" spans="1:3" x14ac:dyDescent="0.6">
      <c r="A20" s="11"/>
      <c r="B20" s="12" t="s">
        <v>8</v>
      </c>
      <c r="C20" s="16">
        <f>C19</f>
        <v>22.49</v>
      </c>
    </row>
    <row r="21" spans="1:3" x14ac:dyDescent="0.6">
      <c r="A21" s="11"/>
      <c r="B21" s="12"/>
      <c r="C21" s="13"/>
    </row>
    <row r="22" spans="1:3" x14ac:dyDescent="0.6">
      <c r="A22" s="11">
        <v>5</v>
      </c>
      <c r="B22" s="12" t="s">
        <v>12</v>
      </c>
      <c r="C22" s="13"/>
    </row>
    <row r="23" spans="1:3" x14ac:dyDescent="0.6">
      <c r="A23" s="11" t="s">
        <v>5</v>
      </c>
      <c r="B23" s="12" t="s">
        <v>13</v>
      </c>
      <c r="C23" s="14">
        <v>0</v>
      </c>
    </row>
    <row r="24" spans="1:3" x14ac:dyDescent="0.6">
      <c r="A24" s="11"/>
      <c r="B24" s="12"/>
      <c r="C24" s="14"/>
    </row>
    <row r="25" spans="1:3" x14ac:dyDescent="0.6">
      <c r="A25" s="11">
        <v>6</v>
      </c>
      <c r="B25" s="12" t="s">
        <v>14</v>
      </c>
      <c r="C25" s="14">
        <v>4.5</v>
      </c>
    </row>
    <row r="26" spans="1:3" x14ac:dyDescent="0.6">
      <c r="A26" s="11"/>
      <c r="B26" s="12"/>
      <c r="C26" s="14"/>
    </row>
    <row r="27" spans="1:3" x14ac:dyDescent="0.6">
      <c r="A27" s="11">
        <v>7</v>
      </c>
      <c r="B27" s="12" t="s">
        <v>15</v>
      </c>
      <c r="C27" s="14">
        <v>0</v>
      </c>
    </row>
    <row r="28" spans="1:3" x14ac:dyDescent="0.6">
      <c r="A28" s="11" t="s">
        <v>5</v>
      </c>
      <c r="B28" s="12" t="s">
        <v>16</v>
      </c>
      <c r="C28" s="14">
        <v>0</v>
      </c>
    </row>
    <row r="29" spans="1:3" x14ac:dyDescent="0.6">
      <c r="A29" s="11"/>
      <c r="B29" s="12" t="s">
        <v>8</v>
      </c>
      <c r="C29" s="14"/>
    </row>
    <row r="30" spans="1:3" x14ac:dyDescent="0.6">
      <c r="A30" s="11"/>
      <c r="B30" s="12"/>
      <c r="C30" s="14"/>
    </row>
    <row r="31" spans="1:3" x14ac:dyDescent="0.6">
      <c r="A31" s="11">
        <v>8</v>
      </c>
      <c r="B31" s="12" t="s">
        <v>17</v>
      </c>
      <c r="C31" s="13"/>
    </row>
    <row r="32" spans="1:3" ht="34" x14ac:dyDescent="0.6">
      <c r="A32" s="11"/>
      <c r="B32" s="17" t="s">
        <v>18</v>
      </c>
      <c r="C32" s="13"/>
    </row>
    <row r="33" spans="1:3" x14ac:dyDescent="0.6">
      <c r="A33" s="11" t="s">
        <v>5</v>
      </c>
      <c r="B33" s="12" t="s">
        <v>19</v>
      </c>
      <c r="C33" s="14">
        <v>0.51</v>
      </c>
    </row>
    <row r="34" spans="1:3" x14ac:dyDescent="0.6">
      <c r="A34" s="11" t="s">
        <v>20</v>
      </c>
      <c r="B34" s="12" t="s">
        <v>21</v>
      </c>
      <c r="C34" s="14">
        <v>0</v>
      </c>
    </row>
    <row r="35" spans="1:3" x14ac:dyDescent="0.6">
      <c r="A35" s="11"/>
      <c r="B35" s="12" t="s">
        <v>8</v>
      </c>
      <c r="C35" s="14">
        <f>SUM(C33:C34)</f>
        <v>0.51</v>
      </c>
    </row>
    <row r="36" spans="1:3" x14ac:dyDescent="0.6">
      <c r="A36" s="11"/>
      <c r="B36" s="12"/>
      <c r="C36" s="14"/>
    </row>
    <row r="37" spans="1:3" x14ac:dyDescent="0.6">
      <c r="A37" s="11">
        <v>9</v>
      </c>
      <c r="B37" s="12" t="s">
        <v>265</v>
      </c>
      <c r="C37" s="14">
        <v>2.5</v>
      </c>
    </row>
    <row r="38" spans="1:3" x14ac:dyDescent="0.6">
      <c r="A38" s="11"/>
      <c r="B38" s="12"/>
      <c r="C38" s="13"/>
    </row>
    <row r="39" spans="1:3" s="5" customFormat="1" x14ac:dyDescent="0.6">
      <c r="A39" s="23"/>
      <c r="B39" s="24" t="s">
        <v>22</v>
      </c>
      <c r="C39" s="25">
        <f>C35+C27+C25+C20+C16+C23+C37+C12+C9</f>
        <v>67.5</v>
      </c>
    </row>
    <row r="40" spans="1:3" x14ac:dyDescent="0.6">
      <c r="A40" s="19"/>
    </row>
    <row r="41" spans="1:3" x14ac:dyDescent="0.6">
      <c r="A41" s="19"/>
    </row>
    <row r="42" spans="1:3" x14ac:dyDescent="0.6">
      <c r="A42" s="19"/>
    </row>
  </sheetData>
  <pageMargins left="0.7" right="0.7"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C21" sqref="C21"/>
    </sheetView>
  </sheetViews>
  <sheetFormatPr defaultRowHeight="17" x14ac:dyDescent="0.6"/>
  <cols>
    <col min="1" max="1" width="8.7265625" style="6"/>
    <col min="2" max="2" width="22.08984375" style="6" customWidth="1"/>
    <col min="3" max="3" width="18.81640625" style="6" bestFit="1" customWidth="1"/>
    <col min="4" max="16384" width="8.7265625" style="6"/>
  </cols>
  <sheetData>
    <row r="1" spans="1:4" x14ac:dyDescent="0.6">
      <c r="A1" s="5" t="s">
        <v>23</v>
      </c>
    </row>
    <row r="3" spans="1:4" x14ac:dyDescent="0.6">
      <c r="A3" s="113" t="s">
        <v>24</v>
      </c>
      <c r="B3" s="114" t="s">
        <v>25</v>
      </c>
      <c r="C3" s="115" t="s">
        <v>4</v>
      </c>
    </row>
    <row r="4" spans="1:4" x14ac:dyDescent="0.6">
      <c r="A4" s="26">
        <v>1</v>
      </c>
      <c r="B4" s="27" t="s">
        <v>26</v>
      </c>
      <c r="C4" s="16">
        <f>C8*10%</f>
        <v>6.75</v>
      </c>
      <c r="D4" s="28"/>
    </row>
    <row r="5" spans="1:4" x14ac:dyDescent="0.6">
      <c r="A5" s="26">
        <v>2</v>
      </c>
      <c r="B5" s="27" t="s">
        <v>27</v>
      </c>
      <c r="C5" s="16">
        <v>0</v>
      </c>
      <c r="D5" s="29"/>
    </row>
    <row r="6" spans="1:4" x14ac:dyDescent="0.6">
      <c r="A6" s="26">
        <v>3</v>
      </c>
      <c r="B6" s="27" t="s">
        <v>28</v>
      </c>
      <c r="C6" s="14">
        <f>C8-C4-C7</f>
        <v>56.25</v>
      </c>
      <c r="D6" s="28"/>
    </row>
    <row r="7" spans="1:4" x14ac:dyDescent="0.6">
      <c r="A7" s="26">
        <v>4</v>
      </c>
      <c r="B7" s="27" t="s">
        <v>29</v>
      </c>
      <c r="C7" s="14">
        <f>'Ann 1'!C25</f>
        <v>4.5</v>
      </c>
    </row>
    <row r="8" spans="1:4" x14ac:dyDescent="0.6">
      <c r="A8" s="32"/>
      <c r="B8" s="33" t="s">
        <v>8</v>
      </c>
      <c r="C8" s="34">
        <f>'Ann 1'!C39</f>
        <v>67.5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0"/>
  <sheetViews>
    <sheetView workbookViewId="0">
      <selection activeCell="E18" sqref="E18"/>
    </sheetView>
  </sheetViews>
  <sheetFormatPr defaultRowHeight="17" x14ac:dyDescent="0.6"/>
  <cols>
    <col min="1" max="1" width="3.6328125" style="6" customWidth="1"/>
    <col min="2" max="2" width="33.54296875" style="6" customWidth="1"/>
    <col min="3" max="3" width="8.7265625" style="6"/>
    <col min="4" max="4" width="12.7265625" style="6" bestFit="1" customWidth="1"/>
    <col min="5" max="5" width="8.7265625" style="6"/>
    <col min="6" max="6" width="10.54296875" style="6" customWidth="1"/>
    <col min="7" max="7" width="12.1796875" style="6" bestFit="1" customWidth="1"/>
    <col min="8" max="8" width="8.7265625" style="6"/>
    <col min="9" max="9" width="9.1796875" style="6" bestFit="1" customWidth="1"/>
    <col min="10" max="16384" width="8.7265625" style="6"/>
  </cols>
  <sheetData>
    <row r="1" spans="1:7" x14ac:dyDescent="0.6">
      <c r="A1" s="5" t="s">
        <v>30</v>
      </c>
    </row>
    <row r="3" spans="1:7" s="5" customFormat="1" x14ac:dyDescent="0.6">
      <c r="A3" s="116" t="s">
        <v>245</v>
      </c>
      <c r="B3" s="117"/>
      <c r="C3" s="117"/>
      <c r="D3" s="117"/>
      <c r="E3" s="117" t="s">
        <v>31</v>
      </c>
      <c r="F3" s="117"/>
      <c r="G3" s="118" t="s">
        <v>32</v>
      </c>
    </row>
    <row r="4" spans="1:7" x14ac:dyDescent="0.6">
      <c r="A4" s="35">
        <v>1</v>
      </c>
      <c r="B4" s="36" t="s">
        <v>246</v>
      </c>
      <c r="C4" s="37"/>
      <c r="D4" s="38"/>
      <c r="E4" s="38">
        <v>1</v>
      </c>
      <c r="F4" s="39"/>
      <c r="G4" s="40">
        <v>250000</v>
      </c>
    </row>
    <row r="5" spans="1:7" x14ac:dyDescent="0.6">
      <c r="A5" s="41" t="s">
        <v>247</v>
      </c>
      <c r="B5" s="42"/>
      <c r="C5" s="42"/>
      <c r="D5" s="42"/>
      <c r="E5" s="42"/>
      <c r="F5" s="42"/>
      <c r="G5" s="43">
        <f>SUM(G4:G4)</f>
        <v>250000</v>
      </c>
    </row>
    <row r="6" spans="1:7" x14ac:dyDescent="0.6">
      <c r="A6" s="30"/>
      <c r="B6" s="31"/>
      <c r="C6" s="31"/>
      <c r="D6" s="31"/>
      <c r="E6" s="31"/>
      <c r="F6" s="31"/>
      <c r="G6" s="44"/>
    </row>
    <row r="7" spans="1:7" s="5" customFormat="1" x14ac:dyDescent="0.6">
      <c r="A7" s="116" t="s">
        <v>33</v>
      </c>
      <c r="B7" s="117"/>
      <c r="C7" s="117"/>
      <c r="D7" s="117"/>
      <c r="E7" s="117" t="s">
        <v>31</v>
      </c>
      <c r="F7" s="117"/>
      <c r="G7" s="118" t="s">
        <v>32</v>
      </c>
    </row>
    <row r="8" spans="1:7" x14ac:dyDescent="0.6">
      <c r="A8" s="35">
        <v>1</v>
      </c>
      <c r="B8" s="45" t="s">
        <v>258</v>
      </c>
      <c r="C8" s="37"/>
      <c r="D8" s="38"/>
      <c r="E8" s="38">
        <v>2</v>
      </c>
      <c r="F8" s="39"/>
      <c r="G8" s="40">
        <v>250000</v>
      </c>
    </row>
    <row r="9" spans="1:7" x14ac:dyDescent="0.6">
      <c r="A9" s="26">
        <v>2</v>
      </c>
      <c r="B9" s="45" t="s">
        <v>259</v>
      </c>
      <c r="C9" s="27"/>
      <c r="D9" s="45"/>
      <c r="E9" s="45">
        <v>1</v>
      </c>
      <c r="F9" s="46"/>
      <c r="G9" s="47">
        <v>525000</v>
      </c>
    </row>
    <row r="10" spans="1:7" x14ac:dyDescent="0.6">
      <c r="A10" s="26">
        <v>3</v>
      </c>
      <c r="B10" s="45" t="s">
        <v>313</v>
      </c>
      <c r="C10" s="27"/>
      <c r="D10" s="45"/>
      <c r="E10" s="45">
        <v>1</v>
      </c>
      <c r="F10" s="46"/>
      <c r="G10" s="47">
        <v>750000</v>
      </c>
    </row>
    <row r="11" spans="1:7" x14ac:dyDescent="0.6">
      <c r="A11" s="26">
        <v>4</v>
      </c>
      <c r="B11" s="45" t="s">
        <v>260</v>
      </c>
      <c r="C11" s="27"/>
      <c r="D11" s="45"/>
      <c r="E11" s="45">
        <v>3</v>
      </c>
      <c r="F11" s="46"/>
      <c r="G11" s="48">
        <v>12000</v>
      </c>
    </row>
    <row r="12" spans="1:7" x14ac:dyDescent="0.6">
      <c r="A12" s="26">
        <v>5</v>
      </c>
      <c r="B12" s="45" t="s">
        <v>261</v>
      </c>
      <c r="C12" s="27"/>
      <c r="D12" s="45"/>
      <c r="E12" s="45">
        <v>1</v>
      </c>
      <c r="F12" s="46"/>
      <c r="G12" s="48">
        <v>200000</v>
      </c>
    </row>
    <row r="13" spans="1:7" x14ac:dyDescent="0.6">
      <c r="A13" s="26">
        <v>6</v>
      </c>
      <c r="B13" s="45" t="s">
        <v>262</v>
      </c>
      <c r="C13" s="27"/>
      <c r="D13" s="45"/>
      <c r="E13" s="45">
        <v>1</v>
      </c>
      <c r="F13" s="46"/>
      <c r="G13" s="48">
        <v>40000</v>
      </c>
    </row>
    <row r="14" spans="1:7" x14ac:dyDescent="0.6">
      <c r="A14" s="26">
        <v>7</v>
      </c>
      <c r="B14" s="45" t="s">
        <v>263</v>
      </c>
      <c r="C14" s="27"/>
      <c r="D14" s="45"/>
      <c r="E14" s="45">
        <v>1</v>
      </c>
      <c r="F14" s="46"/>
      <c r="G14" s="48">
        <v>400000</v>
      </c>
    </row>
    <row r="15" spans="1:7" x14ac:dyDescent="0.6">
      <c r="A15" s="26">
        <v>8</v>
      </c>
      <c r="B15" s="45" t="s">
        <v>264</v>
      </c>
      <c r="C15" s="27"/>
      <c r="D15" s="45"/>
      <c r="E15" s="45"/>
      <c r="F15" s="46"/>
      <c r="G15" s="48">
        <v>72000</v>
      </c>
    </row>
    <row r="16" spans="1:7" s="5" customFormat="1" x14ac:dyDescent="0.6">
      <c r="A16" s="32" t="s">
        <v>34</v>
      </c>
      <c r="B16" s="33"/>
      <c r="C16" s="33"/>
      <c r="D16" s="33"/>
      <c r="E16" s="33"/>
      <c r="F16" s="33"/>
      <c r="G16" s="49">
        <f>SUM(G8:G15)</f>
        <v>2249000</v>
      </c>
    </row>
    <row r="17" spans="1:7" x14ac:dyDescent="0.6">
      <c r="A17" s="26"/>
      <c r="B17" s="27"/>
      <c r="C17" s="27"/>
      <c r="D17" s="27"/>
      <c r="E17" s="27"/>
      <c r="F17" s="27"/>
      <c r="G17" s="13"/>
    </row>
    <row r="18" spans="1:7" s="5" customFormat="1" x14ac:dyDescent="0.6">
      <c r="A18" s="32" t="s">
        <v>35</v>
      </c>
      <c r="B18" s="33"/>
      <c r="C18" s="33"/>
      <c r="D18" s="33"/>
      <c r="E18" s="33"/>
      <c r="F18" s="33"/>
      <c r="G18" s="49">
        <f>G16+G5</f>
        <v>2499000</v>
      </c>
    </row>
    <row r="19" spans="1:7" x14ac:dyDescent="0.6">
      <c r="G19" s="50"/>
    </row>
    <row r="20" spans="1:7" x14ac:dyDescent="0.6">
      <c r="G20" s="5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0"/>
  <sheetViews>
    <sheetView workbookViewId="0">
      <selection activeCell="B20" sqref="B20"/>
    </sheetView>
  </sheetViews>
  <sheetFormatPr defaultRowHeight="17" x14ac:dyDescent="0.6"/>
  <cols>
    <col min="1" max="1" width="8.7265625" style="6"/>
    <col min="2" max="2" width="55.7265625" style="6" bestFit="1" customWidth="1"/>
    <col min="3" max="11" width="15.6328125" style="6" bestFit="1" customWidth="1"/>
    <col min="12" max="16384" width="8.7265625" style="6"/>
  </cols>
  <sheetData>
    <row r="1" spans="1:11" x14ac:dyDescent="0.6">
      <c r="A1" s="5" t="s">
        <v>36</v>
      </c>
    </row>
    <row r="3" spans="1:11" x14ac:dyDescent="0.6">
      <c r="A3" s="119" t="s">
        <v>37</v>
      </c>
      <c r="B3" s="119" t="s">
        <v>38</v>
      </c>
      <c r="C3" s="131" t="s">
        <v>48</v>
      </c>
      <c r="D3" s="131"/>
      <c r="E3" s="131"/>
      <c r="F3" s="131"/>
      <c r="G3" s="131"/>
      <c r="H3" s="131"/>
      <c r="I3" s="131"/>
      <c r="J3" s="131"/>
      <c r="K3" s="131"/>
    </row>
    <row r="4" spans="1:11" x14ac:dyDescent="0.6">
      <c r="A4" s="119"/>
      <c r="B4" s="119"/>
      <c r="C4" s="119" t="s">
        <v>39</v>
      </c>
      <c r="D4" s="119" t="s">
        <v>40</v>
      </c>
      <c r="E4" s="119" t="s">
        <v>41</v>
      </c>
      <c r="F4" s="119" t="s">
        <v>42</v>
      </c>
      <c r="G4" s="119" t="s">
        <v>43</v>
      </c>
      <c r="H4" s="119" t="s">
        <v>44</v>
      </c>
      <c r="I4" s="119" t="s">
        <v>45</v>
      </c>
      <c r="J4" s="119" t="s">
        <v>46</v>
      </c>
      <c r="K4" s="119" t="s">
        <v>47</v>
      </c>
    </row>
    <row r="5" spans="1:11" x14ac:dyDescent="0.6">
      <c r="A5" s="8"/>
      <c r="B5" s="8" t="s">
        <v>49</v>
      </c>
      <c r="C5" s="8">
        <v>12</v>
      </c>
      <c r="D5" s="8">
        <v>12</v>
      </c>
      <c r="E5" s="8">
        <v>12</v>
      </c>
      <c r="F5" s="8">
        <v>12</v>
      </c>
      <c r="G5" s="8">
        <v>12</v>
      </c>
      <c r="H5" s="8">
        <v>12</v>
      </c>
      <c r="I5" s="8">
        <v>12</v>
      </c>
      <c r="J5" s="8">
        <v>12</v>
      </c>
      <c r="K5" s="8">
        <v>12</v>
      </c>
    </row>
    <row r="6" spans="1:11" x14ac:dyDescent="0.6">
      <c r="A6" s="8"/>
      <c r="B6" s="8"/>
      <c r="C6" s="8"/>
      <c r="D6" s="8"/>
      <c r="E6" s="8"/>
      <c r="F6" s="8"/>
      <c r="G6" s="8"/>
      <c r="H6" s="8"/>
      <c r="I6" s="8"/>
      <c r="J6" s="8"/>
      <c r="K6" s="8"/>
    </row>
    <row r="7" spans="1:11" x14ac:dyDescent="0.6">
      <c r="A7" s="8"/>
      <c r="B7" s="8" t="s">
        <v>170</v>
      </c>
      <c r="C7" s="52">
        <f>120000+C39</f>
        <v>870000</v>
      </c>
      <c r="D7" s="52">
        <f t="shared" ref="D7:K7" si="0">120000+D39</f>
        <v>1222500</v>
      </c>
      <c r="E7" s="52">
        <f t="shared" si="0"/>
        <v>1277625</v>
      </c>
      <c r="F7" s="52">
        <f t="shared" si="0"/>
        <v>1335506.25</v>
      </c>
      <c r="G7" s="52">
        <f t="shared" si="0"/>
        <v>1396281.5625</v>
      </c>
      <c r="H7" s="52">
        <f t="shared" si="0"/>
        <v>1460095.640625</v>
      </c>
      <c r="I7" s="52">
        <f t="shared" si="0"/>
        <v>1527100.42265625</v>
      </c>
      <c r="J7" s="52">
        <f t="shared" si="0"/>
        <v>1527100.42265625</v>
      </c>
      <c r="K7" s="52">
        <f t="shared" si="0"/>
        <v>1527100.42265625</v>
      </c>
    </row>
    <row r="8" spans="1:11" x14ac:dyDescent="0.6">
      <c r="A8" s="8"/>
      <c r="B8" s="8" t="s">
        <v>271</v>
      </c>
      <c r="C8" s="52">
        <f>2%*'Ann 3'!G16</f>
        <v>44980</v>
      </c>
      <c r="D8" s="52">
        <f>C8*1.05</f>
        <v>47229</v>
      </c>
      <c r="E8" s="52">
        <f t="shared" ref="E8:K8" si="1">D8*1.05</f>
        <v>49590.450000000004</v>
      </c>
      <c r="F8" s="52">
        <f t="shared" si="1"/>
        <v>52069.972500000003</v>
      </c>
      <c r="G8" s="52">
        <f t="shared" si="1"/>
        <v>54673.471125000004</v>
      </c>
      <c r="H8" s="52">
        <f t="shared" si="1"/>
        <v>57407.144681250007</v>
      </c>
      <c r="I8" s="52">
        <f t="shared" si="1"/>
        <v>60277.50191531251</v>
      </c>
      <c r="J8" s="52">
        <f t="shared" si="1"/>
        <v>63291.377011078141</v>
      </c>
      <c r="K8" s="52">
        <f t="shared" si="1"/>
        <v>66455.945861632048</v>
      </c>
    </row>
    <row r="9" spans="1:11" x14ac:dyDescent="0.6">
      <c r="A9" s="8"/>
      <c r="B9" s="8" t="s">
        <v>310</v>
      </c>
      <c r="C9" s="52">
        <v>500000</v>
      </c>
      <c r="D9" s="52">
        <v>500000</v>
      </c>
      <c r="E9" s="52">
        <v>500000</v>
      </c>
      <c r="F9" s="52">
        <v>500000</v>
      </c>
      <c r="G9" s="52">
        <v>500000</v>
      </c>
      <c r="H9" s="52">
        <v>500000</v>
      </c>
      <c r="I9" s="52">
        <v>500000</v>
      </c>
      <c r="J9" s="52">
        <v>500000</v>
      </c>
      <c r="K9" s="52">
        <v>500000</v>
      </c>
    </row>
    <row r="10" spans="1:11" x14ac:dyDescent="0.6">
      <c r="A10" s="8"/>
      <c r="B10" s="8" t="s">
        <v>296</v>
      </c>
      <c r="C10" s="52">
        <f>C19*20%</f>
        <v>1925000</v>
      </c>
      <c r="D10" s="52">
        <f t="shared" ref="D10:K10" si="2">D19*20%</f>
        <v>2193750</v>
      </c>
      <c r="E10" s="52">
        <f t="shared" si="2"/>
        <v>2340000</v>
      </c>
      <c r="F10" s="52">
        <f t="shared" si="2"/>
        <v>2486250</v>
      </c>
      <c r="G10" s="52">
        <f t="shared" si="2"/>
        <v>2632500</v>
      </c>
      <c r="H10" s="52">
        <f t="shared" si="2"/>
        <v>2778750</v>
      </c>
      <c r="I10" s="52">
        <f t="shared" si="2"/>
        <v>2925000</v>
      </c>
      <c r="J10" s="52">
        <f t="shared" si="2"/>
        <v>2925000</v>
      </c>
      <c r="K10" s="52">
        <f t="shared" si="2"/>
        <v>2925000</v>
      </c>
    </row>
    <row r="11" spans="1:11" x14ac:dyDescent="0.6">
      <c r="A11" s="8"/>
      <c r="B11" s="8" t="s">
        <v>172</v>
      </c>
      <c r="C11" s="52">
        <f t="shared" ref="C11:K11" si="3">SUM(C7:C10)</f>
        <v>3339980</v>
      </c>
      <c r="D11" s="52">
        <f t="shared" si="3"/>
        <v>3963479</v>
      </c>
      <c r="E11" s="52">
        <f t="shared" si="3"/>
        <v>4167215.45</v>
      </c>
      <c r="F11" s="52">
        <f t="shared" si="3"/>
        <v>4373826.2225000001</v>
      </c>
      <c r="G11" s="52">
        <f t="shared" si="3"/>
        <v>4583455.0336250002</v>
      </c>
      <c r="H11" s="52">
        <f t="shared" si="3"/>
        <v>4796252.7853062497</v>
      </c>
      <c r="I11" s="52">
        <f t="shared" si="3"/>
        <v>5012377.9245715626</v>
      </c>
      <c r="J11" s="52">
        <f t="shared" si="3"/>
        <v>5015391.7996673286</v>
      </c>
      <c r="K11" s="52">
        <f t="shared" si="3"/>
        <v>5018556.3685178822</v>
      </c>
    </row>
    <row r="12" spans="1:11" x14ac:dyDescent="0.6">
      <c r="A12" s="8"/>
      <c r="B12" s="8" t="s">
        <v>173</v>
      </c>
      <c r="C12" s="52">
        <f>SUM(C11)</f>
        <v>3339980</v>
      </c>
      <c r="D12" s="52">
        <f t="shared" ref="D12:K12" si="4">SUM(D11)</f>
        <v>3963479</v>
      </c>
      <c r="E12" s="52">
        <f t="shared" si="4"/>
        <v>4167215.45</v>
      </c>
      <c r="F12" s="52">
        <f t="shared" si="4"/>
        <v>4373826.2225000001</v>
      </c>
      <c r="G12" s="52">
        <f t="shared" si="4"/>
        <v>4583455.0336250002</v>
      </c>
      <c r="H12" s="52">
        <f t="shared" si="4"/>
        <v>4796252.7853062497</v>
      </c>
      <c r="I12" s="52">
        <f t="shared" si="4"/>
        <v>5012377.9245715626</v>
      </c>
      <c r="J12" s="52">
        <f t="shared" si="4"/>
        <v>5015391.7996673286</v>
      </c>
      <c r="K12" s="52">
        <f t="shared" si="4"/>
        <v>5018556.3685178822</v>
      </c>
    </row>
    <row r="13" spans="1:11" x14ac:dyDescent="0.6">
      <c r="A13" s="8"/>
      <c r="B13" s="8"/>
      <c r="C13" s="52"/>
      <c r="D13" s="52"/>
      <c r="E13" s="52"/>
      <c r="F13" s="52"/>
      <c r="G13" s="52"/>
      <c r="H13" s="52"/>
      <c r="I13" s="52"/>
      <c r="J13" s="52"/>
      <c r="K13" s="52"/>
    </row>
    <row r="14" spans="1:11" x14ac:dyDescent="0.6">
      <c r="A14" s="8"/>
      <c r="B14" s="8" t="s">
        <v>51</v>
      </c>
      <c r="C14" s="52">
        <f>'Ann 8'!E14</f>
        <v>855360</v>
      </c>
      <c r="D14" s="52">
        <f>1.07*C14</f>
        <v>915235.20000000007</v>
      </c>
      <c r="E14" s="52">
        <f t="shared" ref="E14:K14" si="5">1.07*D14</f>
        <v>979301.66400000011</v>
      </c>
      <c r="F14" s="52">
        <f t="shared" si="5"/>
        <v>1047852.7804800002</v>
      </c>
      <c r="G14" s="52">
        <f t="shared" si="5"/>
        <v>1121202.4751136003</v>
      </c>
      <c r="H14" s="52">
        <f t="shared" si="5"/>
        <v>1199686.6483715523</v>
      </c>
      <c r="I14" s="52">
        <f t="shared" si="5"/>
        <v>1283664.7137575611</v>
      </c>
      <c r="J14" s="52">
        <f t="shared" si="5"/>
        <v>1373521.2437205904</v>
      </c>
      <c r="K14" s="52">
        <f t="shared" si="5"/>
        <v>1469667.7307810318</v>
      </c>
    </row>
    <row r="15" spans="1:11" x14ac:dyDescent="0.6">
      <c r="A15" s="8"/>
      <c r="B15" s="8" t="s">
        <v>285</v>
      </c>
      <c r="C15" s="52">
        <v>200000</v>
      </c>
      <c r="D15" s="52">
        <v>200000</v>
      </c>
      <c r="E15" s="52">
        <v>200000</v>
      </c>
      <c r="F15" s="52">
        <v>200000</v>
      </c>
      <c r="G15" s="52">
        <v>200000</v>
      </c>
      <c r="H15" s="52">
        <v>200000</v>
      </c>
      <c r="I15" s="52">
        <v>200000</v>
      </c>
      <c r="J15" s="52">
        <v>200000</v>
      </c>
      <c r="K15" s="52">
        <v>200000</v>
      </c>
    </row>
    <row r="16" spans="1:11" x14ac:dyDescent="0.6">
      <c r="A16" s="8"/>
      <c r="B16" s="8" t="s">
        <v>8</v>
      </c>
      <c r="C16" s="52">
        <f>SUM(C14:C15)</f>
        <v>1055360</v>
      </c>
      <c r="D16" s="52">
        <f t="shared" ref="D16:K16" si="6">SUM(D14:D15)</f>
        <v>1115235.2000000002</v>
      </c>
      <c r="E16" s="52">
        <f t="shared" si="6"/>
        <v>1179301.6640000001</v>
      </c>
      <c r="F16" s="52">
        <f t="shared" si="6"/>
        <v>1247852.7804800002</v>
      </c>
      <c r="G16" s="52">
        <f t="shared" si="6"/>
        <v>1321202.4751136003</v>
      </c>
      <c r="H16" s="52">
        <f t="shared" si="6"/>
        <v>1399686.6483715523</v>
      </c>
      <c r="I16" s="52">
        <f t="shared" si="6"/>
        <v>1483664.7137575611</v>
      </c>
      <c r="J16" s="52">
        <f t="shared" si="6"/>
        <v>1573521.2437205904</v>
      </c>
      <c r="K16" s="52">
        <f t="shared" si="6"/>
        <v>1669667.7307810318</v>
      </c>
    </row>
    <row r="17" spans="1:11" x14ac:dyDescent="0.6">
      <c r="A17" s="8"/>
      <c r="B17" s="8"/>
      <c r="C17" s="52"/>
      <c r="D17" s="52"/>
      <c r="E17" s="52"/>
      <c r="F17" s="52"/>
      <c r="G17" s="52"/>
      <c r="H17" s="52"/>
      <c r="I17" s="52"/>
      <c r="J17" s="52"/>
      <c r="K17" s="52"/>
    </row>
    <row r="18" spans="1:11" x14ac:dyDescent="0.6">
      <c r="A18" s="8"/>
      <c r="B18" s="8" t="s">
        <v>85</v>
      </c>
      <c r="C18" s="52">
        <f t="shared" ref="C18:K18" si="7">C16+C12</f>
        <v>4395340</v>
      </c>
      <c r="D18" s="52">
        <f t="shared" si="7"/>
        <v>5078714.2</v>
      </c>
      <c r="E18" s="52">
        <f t="shared" si="7"/>
        <v>5346517.1140000001</v>
      </c>
      <c r="F18" s="52">
        <f t="shared" si="7"/>
        <v>5621679.0029800003</v>
      </c>
      <c r="G18" s="52">
        <f t="shared" si="7"/>
        <v>5904657.5087386006</v>
      </c>
      <c r="H18" s="52">
        <f t="shared" si="7"/>
        <v>6195939.4336778019</v>
      </c>
      <c r="I18" s="52">
        <f t="shared" si="7"/>
        <v>6496042.6383291241</v>
      </c>
      <c r="J18" s="52">
        <f t="shared" si="7"/>
        <v>6588913.0433879187</v>
      </c>
      <c r="K18" s="52">
        <f t="shared" si="7"/>
        <v>6688224.099298914</v>
      </c>
    </row>
    <row r="19" spans="1:11" x14ac:dyDescent="0.6">
      <c r="A19" s="8"/>
      <c r="B19" s="8" t="s">
        <v>86</v>
      </c>
      <c r="C19" s="52">
        <f>Budgets!B8+Budgets!B7</f>
        <v>9625000</v>
      </c>
      <c r="D19" s="52">
        <f>Budgets!C8+Budgets!C7</f>
        <v>10968750</v>
      </c>
      <c r="E19" s="52">
        <f>Budgets!D8+Budgets!D7</f>
        <v>11700000</v>
      </c>
      <c r="F19" s="52">
        <f>Budgets!E8+Budgets!E7</f>
        <v>12431250</v>
      </c>
      <c r="G19" s="52">
        <f>Budgets!F8+Budgets!F7</f>
        <v>13162500</v>
      </c>
      <c r="H19" s="52">
        <f>Budgets!G8+Budgets!G7</f>
        <v>13893750</v>
      </c>
      <c r="I19" s="52">
        <f>Budgets!H8+Budgets!H7</f>
        <v>14625000</v>
      </c>
      <c r="J19" s="52">
        <f>Budgets!I8+Budgets!I7</f>
        <v>14625000</v>
      </c>
      <c r="K19" s="52">
        <f>Budgets!J8+Budgets!J7</f>
        <v>14625000</v>
      </c>
    </row>
    <row r="20" spans="1:11" x14ac:dyDescent="0.6">
      <c r="A20" s="8"/>
      <c r="B20" s="8" t="s">
        <v>87</v>
      </c>
      <c r="C20" s="52">
        <f>C19-C18</f>
        <v>5229660</v>
      </c>
      <c r="D20" s="52">
        <f t="shared" ref="D20:K20" si="8">D19-D18</f>
        <v>5890035.7999999998</v>
      </c>
      <c r="E20" s="52">
        <f t="shared" si="8"/>
        <v>6353482.8859999999</v>
      </c>
      <c r="F20" s="52">
        <f t="shared" si="8"/>
        <v>6809570.9970199997</v>
      </c>
      <c r="G20" s="52">
        <f t="shared" si="8"/>
        <v>7257842.4912613994</v>
      </c>
      <c r="H20" s="52">
        <f t="shared" si="8"/>
        <v>7697810.5663221981</v>
      </c>
      <c r="I20" s="52">
        <f t="shared" si="8"/>
        <v>8128957.3616708759</v>
      </c>
      <c r="J20" s="52">
        <f t="shared" si="8"/>
        <v>8036086.9566120813</v>
      </c>
      <c r="K20" s="52">
        <f t="shared" si="8"/>
        <v>7936775.900701086</v>
      </c>
    </row>
    <row r="21" spans="1:11" x14ac:dyDescent="0.6">
      <c r="A21" s="8"/>
      <c r="B21" s="8"/>
      <c r="C21" s="52"/>
      <c r="D21" s="52"/>
      <c r="E21" s="52"/>
      <c r="F21" s="52"/>
      <c r="G21" s="52"/>
      <c r="H21" s="52"/>
      <c r="I21" s="52"/>
      <c r="J21" s="52"/>
      <c r="K21" s="52"/>
    </row>
    <row r="22" spans="1:11" x14ac:dyDescent="0.6">
      <c r="A22" s="8"/>
      <c r="B22" s="8" t="s">
        <v>88</v>
      </c>
      <c r="C22" s="52"/>
      <c r="D22" s="52"/>
      <c r="E22" s="52"/>
      <c r="F22" s="52"/>
      <c r="G22" s="52"/>
      <c r="H22" s="52"/>
      <c r="I22" s="52"/>
      <c r="J22" s="52"/>
      <c r="K22" s="52"/>
    </row>
    <row r="23" spans="1:11" x14ac:dyDescent="0.6">
      <c r="A23" s="8"/>
      <c r="B23" s="8" t="s">
        <v>89</v>
      </c>
      <c r="C23" s="52">
        <f>SUM('Ann 13'!E9:E12)*100000</f>
        <v>334255.5</v>
      </c>
      <c r="D23" s="52">
        <f>SUM('Ann 13'!E13:E16)*100000</f>
        <v>292077.00000000006</v>
      </c>
      <c r="E23" s="52">
        <f>SUM('Ann 13'!E17:E20)*100000</f>
        <v>240165.00000000015</v>
      </c>
      <c r="F23" s="52">
        <f>SUM('Ann 13'!E21:E24)*100000</f>
        <v>188253.00000000023</v>
      </c>
      <c r="G23" s="52">
        <f>SUM('Ann 13'!E25:E28)*100000</f>
        <v>136341.0000000002</v>
      </c>
      <c r="H23" s="52">
        <f>SUM('Ann 13'!E29:E32)*100000</f>
        <v>84429.000000000204</v>
      </c>
      <c r="I23" s="52">
        <f>SUM('Ann 13'!E33:E36)*100000</f>
        <v>32517.0000000002</v>
      </c>
      <c r="J23" s="52">
        <v>0</v>
      </c>
      <c r="K23" s="52">
        <v>0</v>
      </c>
    </row>
    <row r="24" spans="1:11" x14ac:dyDescent="0.6">
      <c r="A24" s="8"/>
      <c r="B24" s="8" t="s">
        <v>164</v>
      </c>
      <c r="C24" s="52">
        <f>'Ann 1'!$C$25*100000*10%</f>
        <v>45000</v>
      </c>
      <c r="D24" s="52">
        <f>'Ann 1'!$C$25*100000*10%</f>
        <v>45000</v>
      </c>
      <c r="E24" s="52">
        <f>'Ann 1'!$C$25*100000*10%</f>
        <v>45000</v>
      </c>
      <c r="F24" s="52">
        <f>'Ann 1'!$C$25*100000*10%</f>
        <v>45000</v>
      </c>
      <c r="G24" s="52">
        <f>'Ann 1'!$C$25*100000*10%</f>
        <v>45000</v>
      </c>
      <c r="H24" s="52">
        <f>'Ann 1'!$C$25*100000*10%</f>
        <v>45000</v>
      </c>
      <c r="I24" s="52">
        <f>'Ann 1'!$C$25*100000*10%</f>
        <v>45000</v>
      </c>
      <c r="J24" s="52">
        <f>'Ann 1'!$C$25*100000*10%</f>
        <v>45000</v>
      </c>
      <c r="K24" s="52">
        <f>'Ann 1'!$C$25*100000*10%</f>
        <v>45000</v>
      </c>
    </row>
    <row r="25" spans="1:11" x14ac:dyDescent="0.6">
      <c r="A25" s="8"/>
      <c r="B25" s="20" t="s">
        <v>99</v>
      </c>
      <c r="C25" s="52">
        <f>SUM(C23:C24)</f>
        <v>379255.5</v>
      </c>
      <c r="D25" s="52">
        <f t="shared" ref="D25:K25" si="9">SUM(D23:D24)</f>
        <v>337077.00000000006</v>
      </c>
      <c r="E25" s="52">
        <f t="shared" si="9"/>
        <v>285165.00000000012</v>
      </c>
      <c r="F25" s="52">
        <f t="shared" si="9"/>
        <v>233253.00000000023</v>
      </c>
      <c r="G25" s="52">
        <f t="shared" si="9"/>
        <v>181341.0000000002</v>
      </c>
      <c r="H25" s="52">
        <f t="shared" si="9"/>
        <v>129429.0000000002</v>
      </c>
      <c r="I25" s="52">
        <f t="shared" si="9"/>
        <v>77517.000000000204</v>
      </c>
      <c r="J25" s="52">
        <f t="shared" si="9"/>
        <v>45000</v>
      </c>
      <c r="K25" s="52">
        <f t="shared" si="9"/>
        <v>45000</v>
      </c>
    </row>
    <row r="26" spans="1:11" x14ac:dyDescent="0.6">
      <c r="A26" s="8"/>
      <c r="B26" s="8"/>
      <c r="C26" s="52"/>
      <c r="D26" s="52"/>
      <c r="E26" s="52"/>
      <c r="F26" s="52"/>
      <c r="G26" s="52"/>
      <c r="H26" s="52"/>
      <c r="I26" s="52"/>
      <c r="J26" s="52"/>
      <c r="K26" s="52"/>
    </row>
    <row r="27" spans="1:11" x14ac:dyDescent="0.6">
      <c r="A27" s="8"/>
      <c r="B27" s="8" t="s">
        <v>100</v>
      </c>
      <c r="C27" s="52">
        <f t="shared" ref="C27:K27" si="10">C20-C25</f>
        <v>4850404.5</v>
      </c>
      <c r="D27" s="52">
        <f t="shared" si="10"/>
        <v>5552958.7999999998</v>
      </c>
      <c r="E27" s="52">
        <f t="shared" si="10"/>
        <v>6068317.8859999999</v>
      </c>
      <c r="F27" s="52">
        <f t="shared" si="10"/>
        <v>6576317.9970199997</v>
      </c>
      <c r="G27" s="52">
        <f t="shared" si="10"/>
        <v>7076501.4912613994</v>
      </c>
      <c r="H27" s="52">
        <f t="shared" si="10"/>
        <v>7568381.5663221981</v>
      </c>
      <c r="I27" s="52">
        <f t="shared" si="10"/>
        <v>8051440.3616708759</v>
      </c>
      <c r="J27" s="52">
        <f t="shared" si="10"/>
        <v>7991086.9566120813</v>
      </c>
      <c r="K27" s="52">
        <f t="shared" si="10"/>
        <v>7891775.900701086</v>
      </c>
    </row>
    <row r="28" spans="1:11" x14ac:dyDescent="0.6">
      <c r="A28" s="8"/>
      <c r="B28" s="8" t="s">
        <v>175</v>
      </c>
      <c r="C28" s="52">
        <f>'Ann 1'!C33*100000</f>
        <v>51000</v>
      </c>
      <c r="D28" s="52">
        <v>0</v>
      </c>
      <c r="E28" s="52">
        <v>0</v>
      </c>
      <c r="F28" s="52">
        <v>0</v>
      </c>
      <c r="G28" s="52">
        <v>0</v>
      </c>
      <c r="H28" s="52">
        <v>0</v>
      </c>
      <c r="I28" s="52">
        <v>0</v>
      </c>
      <c r="J28" s="52">
        <v>0</v>
      </c>
      <c r="K28" s="52">
        <v>0</v>
      </c>
    </row>
    <row r="29" spans="1:11" x14ac:dyDescent="0.6">
      <c r="A29" s="8"/>
      <c r="B29" s="20" t="s">
        <v>101</v>
      </c>
      <c r="C29" s="52">
        <f>'Ann 9'!C12+'Ann 9'!D12+'Ann 9'!E12</f>
        <v>749850</v>
      </c>
      <c r="D29" s="52">
        <f>'Ann 9'!C13+'Ann 9'!D13+'Ann 9'!E13</f>
        <v>656122.5</v>
      </c>
      <c r="E29" s="52">
        <f>'Ann 9'!C14+'Ann 9'!D14+'Ann 9'!E14</f>
        <v>574579.125</v>
      </c>
      <c r="F29" s="52">
        <f>'Ann 9'!C15+'Ann 9'!D15+'Ann 9'!E15</f>
        <v>503579.75624999998</v>
      </c>
      <c r="G29" s="52">
        <f>'Ann 9'!C16+'Ann 9'!D16+'Ann 9'!E16</f>
        <v>441711.54281249997</v>
      </c>
      <c r="H29" s="52">
        <f>'Ann 9'!C17+'Ann 9'!D17+'Ann 9'!E17</f>
        <v>387756.68639062496</v>
      </c>
      <c r="I29" s="52">
        <f>'Ann 9'!C18+'Ann 9'!D18+'Ann 9'!E18</f>
        <v>340664.87093203125</v>
      </c>
      <c r="J29" s="52">
        <f>'Ann 9'!C19+'Ann 9'!D19+'Ann 9'!E19</f>
        <v>299529.65904222656</v>
      </c>
      <c r="K29" s="52">
        <f>'Ann 9'!C20+'Ann 9'!D20+'Ann 9'!E20</f>
        <v>263568.27706089255</v>
      </c>
    </row>
    <row r="30" spans="1:11" x14ac:dyDescent="0.6">
      <c r="A30" s="8"/>
      <c r="B30" s="20" t="s">
        <v>102</v>
      </c>
      <c r="C30" s="52">
        <f>C27-C28-C29</f>
        <v>4049554.5</v>
      </c>
      <c r="D30" s="52">
        <f t="shared" ref="D30:K30" si="11">D27-D28-D29</f>
        <v>4896836.3</v>
      </c>
      <c r="E30" s="52">
        <f t="shared" si="11"/>
        <v>5493738.7609999999</v>
      </c>
      <c r="F30" s="52">
        <f t="shared" si="11"/>
        <v>6072738.24077</v>
      </c>
      <c r="G30" s="52">
        <f t="shared" si="11"/>
        <v>6634789.9484488992</v>
      </c>
      <c r="H30" s="52">
        <f t="shared" si="11"/>
        <v>7180624.8799315728</v>
      </c>
      <c r="I30" s="52">
        <f t="shared" si="11"/>
        <v>7710775.4907388445</v>
      </c>
      <c r="J30" s="52">
        <f t="shared" si="11"/>
        <v>7691557.2975698551</v>
      </c>
      <c r="K30" s="52">
        <f t="shared" si="11"/>
        <v>7628207.6236401936</v>
      </c>
    </row>
    <row r="31" spans="1:11" x14ac:dyDescent="0.6">
      <c r="A31" s="8"/>
      <c r="B31" s="20" t="s">
        <v>103</v>
      </c>
      <c r="C31" s="52">
        <f>'Ann 10'!B14</f>
        <v>1230166.3499999999</v>
      </c>
      <c r="D31" s="52">
        <f>'Ann 10'!C14</f>
        <v>1469050.89</v>
      </c>
      <c r="E31" s="52">
        <f>'Ann 10'!D14</f>
        <v>1648121.6283</v>
      </c>
      <c r="F31" s="52">
        <f>'Ann 10'!E14</f>
        <v>1821821.472231</v>
      </c>
      <c r="G31" s="52">
        <f>'Ann 10'!F14</f>
        <v>1990436.9845346697</v>
      </c>
      <c r="H31" s="52">
        <f>'Ann 10'!G14</f>
        <v>2154187.4639794719</v>
      </c>
      <c r="I31" s="52">
        <f>'Ann 10'!H14</f>
        <v>2313232.6472216533</v>
      </c>
      <c r="J31" s="52">
        <f>'Ann 10'!I14</f>
        <v>2307467.1892709564</v>
      </c>
      <c r="K31" s="52">
        <f>'Ann 10'!J14</f>
        <v>2288462.287092058</v>
      </c>
    </row>
    <row r="32" spans="1:11" x14ac:dyDescent="0.6">
      <c r="A32" s="8"/>
      <c r="B32" s="20" t="s">
        <v>104</v>
      </c>
      <c r="C32" s="52">
        <f>C30-C31</f>
        <v>2819388.1500000004</v>
      </c>
      <c r="D32" s="52">
        <f>D30-D31</f>
        <v>3427785.41</v>
      </c>
      <c r="E32" s="52">
        <f t="shared" ref="E32:K32" si="12">E30-E31</f>
        <v>3845617.1327</v>
      </c>
      <c r="F32" s="52">
        <f t="shared" si="12"/>
        <v>4250916.7685390003</v>
      </c>
      <c r="G32" s="52">
        <f t="shared" si="12"/>
        <v>4644352.9639142295</v>
      </c>
      <c r="H32" s="52">
        <f t="shared" si="12"/>
        <v>5026437.4159521013</v>
      </c>
      <c r="I32" s="52">
        <f t="shared" si="12"/>
        <v>5397542.8435171917</v>
      </c>
      <c r="J32" s="52">
        <f t="shared" si="12"/>
        <v>5384090.1082988987</v>
      </c>
      <c r="K32" s="52">
        <f t="shared" si="12"/>
        <v>5339745.3365481356</v>
      </c>
    </row>
    <row r="33" spans="1:11" x14ac:dyDescent="0.6">
      <c r="A33" s="8"/>
      <c r="B33" s="20" t="s">
        <v>270</v>
      </c>
      <c r="C33" s="52">
        <f>C32*80%</f>
        <v>2255510.5200000005</v>
      </c>
      <c r="D33" s="52">
        <f t="shared" ref="D33:K33" si="13">D32*80%</f>
        <v>2742228.3280000002</v>
      </c>
      <c r="E33" s="52">
        <f t="shared" si="13"/>
        <v>3076493.7061600001</v>
      </c>
      <c r="F33" s="52">
        <f t="shared" si="13"/>
        <v>3400733.4148312006</v>
      </c>
      <c r="G33" s="52">
        <f t="shared" si="13"/>
        <v>3715482.3711313838</v>
      </c>
      <c r="H33" s="52">
        <f t="shared" si="13"/>
        <v>4021149.9327616813</v>
      </c>
      <c r="I33" s="52">
        <f t="shared" si="13"/>
        <v>4318034.2748137536</v>
      </c>
      <c r="J33" s="52">
        <f t="shared" si="13"/>
        <v>4307272.0866391193</v>
      </c>
      <c r="K33" s="52">
        <f t="shared" si="13"/>
        <v>4271796.2692385083</v>
      </c>
    </row>
    <row r="34" spans="1:11" x14ac:dyDescent="0.6">
      <c r="A34" s="8"/>
      <c r="B34" s="20" t="s">
        <v>114</v>
      </c>
      <c r="C34" s="52">
        <f>C32-C33</f>
        <v>563877.62999999989</v>
      </c>
      <c r="D34" s="52">
        <f t="shared" ref="D34:K34" si="14">D32-D33</f>
        <v>685557.08199999994</v>
      </c>
      <c r="E34" s="52">
        <f t="shared" si="14"/>
        <v>769123.4265399999</v>
      </c>
      <c r="F34" s="52">
        <f t="shared" si="14"/>
        <v>850183.35370779969</v>
      </c>
      <c r="G34" s="52">
        <f t="shared" si="14"/>
        <v>928870.59278284572</v>
      </c>
      <c r="H34" s="52">
        <f t="shared" si="14"/>
        <v>1005287.4831904201</v>
      </c>
      <c r="I34" s="52">
        <f t="shared" si="14"/>
        <v>1079508.5687034382</v>
      </c>
      <c r="J34" s="52">
        <f t="shared" si="14"/>
        <v>1076818.0216597794</v>
      </c>
      <c r="K34" s="52">
        <f t="shared" si="14"/>
        <v>1067949.0673096273</v>
      </c>
    </row>
    <row r="36" spans="1:11" x14ac:dyDescent="0.6">
      <c r="A36" s="6" t="s">
        <v>307</v>
      </c>
    </row>
    <row r="37" spans="1:11" x14ac:dyDescent="0.6">
      <c r="A37" s="6" t="s">
        <v>308</v>
      </c>
    </row>
    <row r="38" spans="1:11" x14ac:dyDescent="0.6">
      <c r="B38" s="6" t="s">
        <v>171</v>
      </c>
      <c r="C38" s="6">
        <v>75000</v>
      </c>
      <c r="D38" s="6">
        <f>C38*1.05</f>
        <v>78750</v>
      </c>
      <c r="E38" s="6">
        <f t="shared" ref="E38:I38" si="15">D38*1.05</f>
        <v>82687.5</v>
      </c>
      <c r="F38" s="6">
        <f t="shared" si="15"/>
        <v>86821.875</v>
      </c>
      <c r="G38" s="6">
        <f t="shared" si="15"/>
        <v>91162.96875</v>
      </c>
      <c r="H38" s="6">
        <f t="shared" si="15"/>
        <v>95721.1171875</v>
      </c>
      <c r="I38" s="6">
        <f t="shared" si="15"/>
        <v>100507.173046875</v>
      </c>
      <c r="J38" s="6">
        <f>I38</f>
        <v>100507.173046875</v>
      </c>
      <c r="K38" s="6">
        <f>J38</f>
        <v>100507.173046875</v>
      </c>
    </row>
    <row r="39" spans="1:11" x14ac:dyDescent="0.6">
      <c r="B39" s="6" t="s">
        <v>71</v>
      </c>
      <c r="C39" s="6">
        <f>C38*10</f>
        <v>750000</v>
      </c>
      <c r="D39" s="6">
        <f t="shared" ref="D39:K39" si="16">D38*14</f>
        <v>1102500</v>
      </c>
      <c r="E39" s="6">
        <f t="shared" si="16"/>
        <v>1157625</v>
      </c>
      <c r="F39" s="6">
        <f t="shared" si="16"/>
        <v>1215506.25</v>
      </c>
      <c r="G39" s="6">
        <f t="shared" si="16"/>
        <v>1276281.5625</v>
      </c>
      <c r="H39" s="6">
        <f t="shared" si="16"/>
        <v>1340095.640625</v>
      </c>
      <c r="I39" s="6">
        <f t="shared" si="16"/>
        <v>1407100.42265625</v>
      </c>
      <c r="J39" s="6">
        <f t="shared" si="16"/>
        <v>1407100.42265625</v>
      </c>
      <c r="K39" s="6">
        <f t="shared" si="16"/>
        <v>1407100.42265625</v>
      </c>
    </row>
    <row r="40" spans="1:11" x14ac:dyDescent="0.6">
      <c r="A40" s="6" t="s">
        <v>309</v>
      </c>
    </row>
  </sheetData>
  <mergeCells count="1">
    <mergeCell ref="C3:K3"/>
  </mergeCells>
  <pageMargins left="0.7" right="0.7" top="0.75" bottom="0.75" header="0.3" footer="0.3"/>
  <pageSetup scale="59" fitToHeight="0" orientation="landscape" r:id="rId1"/>
  <ignoredErrors>
    <ignoredError sqref="D2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workbookViewId="0"/>
  </sheetViews>
  <sheetFormatPr defaultRowHeight="17" x14ac:dyDescent="0.6"/>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x14ac:dyDescent="0.6">
      <c r="A1" s="5" t="s">
        <v>115</v>
      </c>
    </row>
    <row r="3" spans="1:11" x14ac:dyDescent="0.6">
      <c r="A3" s="6" t="s">
        <v>116</v>
      </c>
    </row>
    <row r="5" spans="1:11" s="5" customFormat="1" x14ac:dyDescent="0.6">
      <c r="A5" s="132" t="s">
        <v>37</v>
      </c>
      <c r="B5" s="132" t="s">
        <v>38</v>
      </c>
      <c r="C5" s="132" t="s">
        <v>48</v>
      </c>
      <c r="D5" s="132"/>
      <c r="E5" s="132"/>
      <c r="F5" s="132"/>
      <c r="G5" s="132"/>
      <c r="H5" s="132"/>
      <c r="I5" s="132"/>
      <c r="J5" s="132"/>
      <c r="K5" s="132"/>
    </row>
    <row r="6" spans="1:11" s="5" customFormat="1" x14ac:dyDescent="0.6">
      <c r="A6" s="132"/>
      <c r="B6" s="132"/>
      <c r="C6" s="111" t="s">
        <v>39</v>
      </c>
      <c r="D6" s="111" t="s">
        <v>40</v>
      </c>
      <c r="E6" s="111" t="s">
        <v>41</v>
      </c>
      <c r="F6" s="111" t="s">
        <v>42</v>
      </c>
      <c r="G6" s="111" t="s">
        <v>43</v>
      </c>
      <c r="H6" s="111" t="s">
        <v>44</v>
      </c>
      <c r="I6" s="111" t="s">
        <v>45</v>
      </c>
      <c r="J6" s="111" t="s">
        <v>46</v>
      </c>
      <c r="K6" s="111" t="s">
        <v>47</v>
      </c>
    </row>
    <row r="7" spans="1:11" x14ac:dyDescent="0.6">
      <c r="A7" s="35" t="s">
        <v>150</v>
      </c>
      <c r="B7" s="53" t="s">
        <v>117</v>
      </c>
      <c r="C7" s="54"/>
      <c r="D7" s="54"/>
      <c r="E7" s="55"/>
      <c r="F7" s="55"/>
      <c r="G7" s="55"/>
      <c r="H7" s="55"/>
      <c r="I7" s="55"/>
      <c r="J7" s="55"/>
      <c r="K7" s="55"/>
    </row>
    <row r="8" spans="1:11" x14ac:dyDescent="0.6">
      <c r="A8" s="26">
        <v>1</v>
      </c>
      <c r="B8" s="27" t="s">
        <v>118</v>
      </c>
      <c r="C8" s="12"/>
      <c r="D8" s="12"/>
      <c r="E8" s="13"/>
      <c r="F8" s="13"/>
      <c r="G8" s="13"/>
      <c r="H8" s="13"/>
      <c r="I8" s="13"/>
      <c r="J8" s="13"/>
      <c r="K8" s="13"/>
    </row>
    <row r="9" spans="1:11" x14ac:dyDescent="0.6">
      <c r="A9" s="26"/>
      <c r="B9" s="27" t="s">
        <v>119</v>
      </c>
      <c r="C9" s="56">
        <f>'Ann 9'!C6+'Ann 9'!D6+'Ann 9'!E6</f>
        <v>6249000</v>
      </c>
      <c r="D9" s="57">
        <f>C11</f>
        <v>5499150</v>
      </c>
      <c r="E9" s="16">
        <f t="shared" ref="E9:K9" si="0">D11</f>
        <v>4843027.5</v>
      </c>
      <c r="F9" s="16">
        <f t="shared" si="0"/>
        <v>4268448.375</v>
      </c>
      <c r="G9" s="16">
        <f t="shared" si="0"/>
        <v>3764868.6187499999</v>
      </c>
      <c r="H9" s="16">
        <f t="shared" si="0"/>
        <v>3323157.0759374998</v>
      </c>
      <c r="I9" s="16">
        <f t="shared" si="0"/>
        <v>2935400.3895468749</v>
      </c>
      <c r="J9" s="16">
        <f t="shared" si="0"/>
        <v>2594735.5186148435</v>
      </c>
      <c r="K9" s="16">
        <f t="shared" si="0"/>
        <v>2295205.8595726169</v>
      </c>
    </row>
    <row r="10" spans="1:11" x14ac:dyDescent="0.6">
      <c r="A10" s="26"/>
      <c r="B10" s="27" t="s">
        <v>120</v>
      </c>
      <c r="C10" s="56">
        <f>'Ann 9'!C12+'Ann 9'!D12+'Ann 9'!E12</f>
        <v>749850</v>
      </c>
      <c r="D10" s="57">
        <f>'Ann 9'!C13+'Ann 9'!D13+'Ann 9'!E13</f>
        <v>656122.5</v>
      </c>
      <c r="E10" s="16">
        <f>'Ann 9'!C14+'Ann 9'!D14+'Ann 9'!E14</f>
        <v>574579.125</v>
      </c>
      <c r="F10" s="16">
        <f>'Ann 9'!C15+'Ann 9'!D15+'Ann 9'!E15</f>
        <v>503579.75624999998</v>
      </c>
      <c r="G10" s="16">
        <f>'Ann 9'!C16+'Ann 9'!D16+'Ann 9'!E16</f>
        <v>441711.54281249997</v>
      </c>
      <c r="H10" s="16">
        <f>'Ann 9'!C17+'Ann 9'!D17+'Ann 9'!E17</f>
        <v>387756.68639062496</v>
      </c>
      <c r="I10" s="16">
        <f>+'Ann 9'!C18+'Ann 9'!D18+'Ann 9'!E18</f>
        <v>340664.87093203125</v>
      </c>
      <c r="J10" s="16">
        <f>'Ann 9'!C19+'Ann 9'!D19+'Ann 9'!E19</f>
        <v>299529.65904222656</v>
      </c>
      <c r="K10" s="16">
        <f>+'Ann 9'!C20+'Ann 9'!D20+'Ann 9'!E20</f>
        <v>263568.27706089255</v>
      </c>
    </row>
    <row r="11" spans="1:11" x14ac:dyDescent="0.6">
      <c r="A11" s="26"/>
      <c r="B11" s="27" t="s">
        <v>121</v>
      </c>
      <c r="C11" s="56">
        <f>C9-C10</f>
        <v>5499150</v>
      </c>
      <c r="D11" s="57">
        <f>D9-D10</f>
        <v>4843027.5</v>
      </c>
      <c r="E11" s="16">
        <f t="shared" ref="E11:K11" si="1">E9-E10</f>
        <v>4268448.375</v>
      </c>
      <c r="F11" s="16">
        <f t="shared" si="1"/>
        <v>3764868.6187499999</v>
      </c>
      <c r="G11" s="16">
        <f t="shared" si="1"/>
        <v>3323157.0759374998</v>
      </c>
      <c r="H11" s="16">
        <f t="shared" si="1"/>
        <v>2935400.3895468749</v>
      </c>
      <c r="I11" s="16">
        <f t="shared" si="1"/>
        <v>2594735.5186148435</v>
      </c>
      <c r="J11" s="16">
        <f t="shared" si="1"/>
        <v>2295205.8595726169</v>
      </c>
      <c r="K11" s="16">
        <f t="shared" si="1"/>
        <v>2031637.5825117244</v>
      </c>
    </row>
    <row r="12" spans="1:11" x14ac:dyDescent="0.6">
      <c r="A12" s="26">
        <v>3</v>
      </c>
      <c r="B12" s="27" t="s">
        <v>122</v>
      </c>
      <c r="C12" s="56">
        <f>'Ann 4'!C19*30/330</f>
        <v>875000</v>
      </c>
      <c r="D12" s="56">
        <f>'Ann 4'!D19*30/330</f>
        <v>997159.09090909094</v>
      </c>
      <c r="E12" s="56">
        <f>'Ann 4'!E19*30/330</f>
        <v>1063636.3636363635</v>
      </c>
      <c r="F12" s="56">
        <f>'Ann 4'!F19*30/330</f>
        <v>1130113.6363636365</v>
      </c>
      <c r="G12" s="56">
        <f>'Ann 4'!G19*30/330</f>
        <v>1196590.9090909092</v>
      </c>
      <c r="H12" s="56">
        <f>'Ann 4'!H19*30/330</f>
        <v>1263068.1818181819</v>
      </c>
      <c r="I12" s="56">
        <f>'Ann 4'!I19*30/330</f>
        <v>1329545.4545454546</v>
      </c>
      <c r="J12" s="56">
        <f>'Ann 4'!J19*30/330</f>
        <v>1329545.4545454546</v>
      </c>
      <c r="K12" s="56">
        <f>'Ann 4'!K19*30/330</f>
        <v>1329545.4545454546</v>
      </c>
    </row>
    <row r="13" spans="1:11" x14ac:dyDescent="0.6">
      <c r="A13" s="26">
        <v>4</v>
      </c>
      <c r="B13" s="27" t="s">
        <v>123</v>
      </c>
      <c r="C13" s="58">
        <f>'Cash flows'!C20</f>
        <v>1012647.6299999999</v>
      </c>
      <c r="D13" s="58">
        <f>'Cash flows'!D20</f>
        <v>1426718.1574545451</v>
      </c>
      <c r="E13" s="58">
        <f>'Cash flows'!E20</f>
        <v>1876982.7933581811</v>
      </c>
      <c r="F13" s="58">
        <f>'Cash flows'!F20</f>
        <v>2338123.3790396145</v>
      </c>
      <c r="G13" s="58">
        <f>'Cash flows'!G20</f>
        <v>2816955.4591137962</v>
      </c>
      <c r="H13" s="58">
        <f>'Cash flows'!H20</f>
        <v>3319183.1147417417</v>
      </c>
      <c r="I13" s="58">
        <f>'Cash flows'!I20</f>
        <v>3848338.9299019366</v>
      </c>
      <c r="J13" s="58">
        <f>'Cash flows'!J20</f>
        <v>5241024.1615063101</v>
      </c>
      <c r="K13" s="58">
        <f>'Cash flows'!K20</f>
        <v>6590022.6853423631</v>
      </c>
    </row>
    <row r="14" spans="1:11" x14ac:dyDescent="0.6">
      <c r="A14" s="26"/>
      <c r="B14" s="27" t="s">
        <v>131</v>
      </c>
      <c r="C14" s="56">
        <f t="shared" ref="C14:K14" si="2">SUM(C11:C13)</f>
        <v>7386797.6299999999</v>
      </c>
      <c r="D14" s="56">
        <f t="shared" si="2"/>
        <v>7266904.7483636364</v>
      </c>
      <c r="E14" s="59">
        <f t="shared" si="2"/>
        <v>7209067.531994544</v>
      </c>
      <c r="F14" s="59">
        <f t="shared" si="2"/>
        <v>7233105.6341532506</v>
      </c>
      <c r="G14" s="59">
        <f t="shared" si="2"/>
        <v>7336703.4441422047</v>
      </c>
      <c r="H14" s="59">
        <f t="shared" si="2"/>
        <v>7517651.6861067982</v>
      </c>
      <c r="I14" s="59">
        <f t="shared" si="2"/>
        <v>7772619.9030622346</v>
      </c>
      <c r="J14" s="59">
        <f t="shared" si="2"/>
        <v>8865775.4756243825</v>
      </c>
      <c r="K14" s="59">
        <f t="shared" si="2"/>
        <v>9951205.7223995421</v>
      </c>
    </row>
    <row r="15" spans="1:11" x14ac:dyDescent="0.6">
      <c r="A15" s="26"/>
      <c r="B15" s="27"/>
      <c r="C15" s="56"/>
      <c r="D15" s="56"/>
      <c r="E15" s="59"/>
      <c r="F15" s="59"/>
      <c r="G15" s="59"/>
      <c r="H15" s="59"/>
      <c r="I15" s="59"/>
      <c r="J15" s="59"/>
      <c r="K15" s="59"/>
    </row>
    <row r="16" spans="1:11" x14ac:dyDescent="0.6">
      <c r="A16" s="26" t="s">
        <v>151</v>
      </c>
      <c r="B16" s="60" t="s">
        <v>124</v>
      </c>
      <c r="C16" s="12"/>
      <c r="D16" s="12"/>
      <c r="E16" s="13"/>
      <c r="F16" s="13"/>
      <c r="G16" s="13"/>
      <c r="H16" s="13"/>
      <c r="I16" s="13"/>
      <c r="J16" s="13"/>
      <c r="K16" s="13"/>
    </row>
    <row r="17" spans="1:13" x14ac:dyDescent="0.6">
      <c r="A17" s="26">
        <v>1</v>
      </c>
      <c r="B17" s="27" t="s">
        <v>125</v>
      </c>
      <c r="C17" s="58">
        <f>'Ann 2'!C4*100000</f>
        <v>675000</v>
      </c>
      <c r="D17" s="58">
        <f>C20</f>
        <v>1238877.6299999999</v>
      </c>
      <c r="E17" s="61">
        <f t="shared" ref="E17:K17" si="3">D20</f>
        <v>1924434.7119999998</v>
      </c>
      <c r="F17" s="61">
        <f t="shared" si="3"/>
        <v>2693558.1385399997</v>
      </c>
      <c r="G17" s="61">
        <f t="shared" si="3"/>
        <v>3543741.4922477994</v>
      </c>
      <c r="H17" s="61">
        <f t="shared" si="3"/>
        <v>4472612.0850306451</v>
      </c>
      <c r="I17" s="61">
        <f t="shared" si="3"/>
        <v>5477899.5682210652</v>
      </c>
      <c r="J17" s="61">
        <f t="shared" si="3"/>
        <v>6557408.1369245034</v>
      </c>
      <c r="K17" s="61">
        <f t="shared" si="3"/>
        <v>7634226.1585842827</v>
      </c>
    </row>
    <row r="18" spans="1:13" x14ac:dyDescent="0.6">
      <c r="A18" s="26"/>
      <c r="B18" s="27" t="s">
        <v>126</v>
      </c>
      <c r="C18" s="58">
        <f>'Ann 4'!C34</f>
        <v>563877.62999999989</v>
      </c>
      <c r="D18" s="58">
        <f>'Ann 4'!D34</f>
        <v>685557.08199999994</v>
      </c>
      <c r="E18" s="61">
        <f>'Ann 4'!E34</f>
        <v>769123.4265399999</v>
      </c>
      <c r="F18" s="61">
        <f>'Ann 4'!F34</f>
        <v>850183.35370779969</v>
      </c>
      <c r="G18" s="61">
        <f>'Ann 4'!G34</f>
        <v>928870.59278284572</v>
      </c>
      <c r="H18" s="61">
        <f>'Ann 4'!H34</f>
        <v>1005287.4831904201</v>
      </c>
      <c r="I18" s="61">
        <f>'Ann 4'!I34</f>
        <v>1079508.5687034382</v>
      </c>
      <c r="J18" s="61">
        <f>'Ann 4'!J34</f>
        <v>1076818.0216597794</v>
      </c>
      <c r="K18" s="61">
        <f>'Ann 4'!K34</f>
        <v>1067949.0673096273</v>
      </c>
    </row>
    <row r="19" spans="1:13" x14ac:dyDescent="0.6">
      <c r="A19" s="26"/>
      <c r="B19" s="27" t="s">
        <v>127</v>
      </c>
      <c r="C19" s="58">
        <v>0</v>
      </c>
      <c r="D19" s="58">
        <v>0</v>
      </c>
      <c r="E19" s="61">
        <v>0</v>
      </c>
      <c r="F19" s="61">
        <v>0</v>
      </c>
      <c r="G19" s="61">
        <v>0</v>
      </c>
      <c r="H19" s="61">
        <v>0</v>
      </c>
      <c r="I19" s="61">
        <v>0</v>
      </c>
      <c r="J19" s="61">
        <v>0</v>
      </c>
      <c r="K19" s="61">
        <v>0</v>
      </c>
    </row>
    <row r="20" spans="1:13" x14ac:dyDescent="0.6">
      <c r="A20" s="26"/>
      <c r="B20" s="27" t="s">
        <v>128</v>
      </c>
      <c r="C20" s="58">
        <f>C17+C18</f>
        <v>1238877.6299999999</v>
      </c>
      <c r="D20" s="58">
        <f t="shared" ref="D20:K20" si="4">D17+D18</f>
        <v>1924434.7119999998</v>
      </c>
      <c r="E20" s="61">
        <f t="shared" si="4"/>
        <v>2693558.1385399997</v>
      </c>
      <c r="F20" s="61">
        <f t="shared" si="4"/>
        <v>3543741.4922477994</v>
      </c>
      <c r="G20" s="61">
        <f t="shared" si="4"/>
        <v>4472612.0850306451</v>
      </c>
      <c r="H20" s="61">
        <f t="shared" si="4"/>
        <v>5477899.5682210652</v>
      </c>
      <c r="I20" s="61">
        <f t="shared" si="4"/>
        <v>6557408.1369245034</v>
      </c>
      <c r="J20" s="61">
        <f t="shared" si="4"/>
        <v>7634226.1585842827</v>
      </c>
      <c r="K20" s="61">
        <f t="shared" si="4"/>
        <v>8702175.225893911</v>
      </c>
    </row>
    <row r="21" spans="1:13" x14ac:dyDescent="0.6">
      <c r="A21" s="26">
        <v>2</v>
      </c>
      <c r="B21" s="27" t="s">
        <v>129</v>
      </c>
      <c r="C21" s="58">
        <f>'Ann 13'!C13*100000</f>
        <v>5192400.0000000009</v>
      </c>
      <c r="D21" s="58">
        <f>'Ann 13'!C17*100000</f>
        <v>4327200.0000000019</v>
      </c>
      <c r="E21" s="58">
        <f>'Ann 13'!C21*100000</f>
        <v>3462000.0000000033</v>
      </c>
      <c r="F21" s="58">
        <f>'Ann 13'!C25*100000</f>
        <v>2596800.0000000037</v>
      </c>
      <c r="G21" s="61">
        <f>('Ann 13'!C28-'Ann 13'!D28)*100000</f>
        <v>1731600.0000000035</v>
      </c>
      <c r="H21" s="61">
        <f>('Ann 13'!C32-'Ann 13'!D32)*100000</f>
        <v>866400.00000000338</v>
      </c>
      <c r="I21" s="61">
        <v>0</v>
      </c>
      <c r="J21" s="61">
        <v>0</v>
      </c>
      <c r="K21" s="61">
        <v>0</v>
      </c>
    </row>
    <row r="22" spans="1:13" x14ac:dyDescent="0.6">
      <c r="A22" s="26">
        <v>3</v>
      </c>
      <c r="B22" s="22" t="s">
        <v>163</v>
      </c>
      <c r="C22" s="58">
        <f>'Ann 2'!$C$7*100000</f>
        <v>450000</v>
      </c>
      <c r="D22" s="58">
        <f>'Ann 2'!$C$7*100000</f>
        <v>450000</v>
      </c>
      <c r="E22" s="58">
        <f>'Ann 2'!$C$7*100000</f>
        <v>450000</v>
      </c>
      <c r="F22" s="58">
        <f>'Ann 2'!$C$7*100000</f>
        <v>450000</v>
      </c>
      <c r="G22" s="58">
        <f>'Ann 2'!$C$7*100000</f>
        <v>450000</v>
      </c>
      <c r="H22" s="58">
        <f>'Ann 2'!$C$7*100000</f>
        <v>450000</v>
      </c>
      <c r="I22" s="58">
        <f>'Ann 2'!$C$7*100000</f>
        <v>450000</v>
      </c>
      <c r="J22" s="58">
        <f>'Ann 2'!$C$7*100000</f>
        <v>450000</v>
      </c>
      <c r="K22" s="58">
        <f>'Ann 2'!$C$7*100000</f>
        <v>450000</v>
      </c>
    </row>
    <row r="23" spans="1:13" x14ac:dyDescent="0.6">
      <c r="A23" s="26">
        <v>4</v>
      </c>
      <c r="B23" s="22" t="s">
        <v>158</v>
      </c>
      <c r="C23" s="58">
        <f>('Ann 4'!C10+'Ann 4'!C14)*60/330</f>
        <v>505520</v>
      </c>
      <c r="D23" s="58">
        <f>('Ann 4'!D10+'Ann 4'!D14)*60/330</f>
        <v>565270.03636363638</v>
      </c>
      <c r="E23" s="58">
        <f>('Ann 4'!E10+'Ann 4'!E14)*60/330</f>
        <v>603509.39345454541</v>
      </c>
      <c r="F23" s="58">
        <f>('Ann 4'!F10+'Ann 4'!F14)*60/330</f>
        <v>642564.14190545457</v>
      </c>
      <c r="G23" s="58">
        <f>('Ann 4'!G10+'Ann 4'!G14)*60/330</f>
        <v>682491.35911156377</v>
      </c>
      <c r="H23" s="58">
        <f>('Ann 4'!H10+'Ann 4'!H14)*60/330</f>
        <v>723352.11788573675</v>
      </c>
      <c r="I23" s="58">
        <f>('Ann 4'!I10+'Ann 4'!I14)*60/330</f>
        <v>765211.76613773848</v>
      </c>
      <c r="J23" s="58">
        <f>('Ann 4'!J10+'Ann 4'!J14)*60/330</f>
        <v>781549.31704010733</v>
      </c>
      <c r="K23" s="58">
        <f>('Ann 4'!K10+'Ann 4'!K14)*60/330</f>
        <v>799030.49650564208</v>
      </c>
    </row>
    <row r="24" spans="1:13" x14ac:dyDescent="0.6">
      <c r="A24" s="26"/>
      <c r="B24" s="27" t="s">
        <v>130</v>
      </c>
      <c r="C24" s="56">
        <f t="shared" ref="C24:K24" si="5">SUM(C20:C23)</f>
        <v>7386797.6300000008</v>
      </c>
      <c r="D24" s="56">
        <f t="shared" si="5"/>
        <v>7266904.7483636374</v>
      </c>
      <c r="E24" s="56">
        <f t="shared" si="5"/>
        <v>7209067.5319945486</v>
      </c>
      <c r="F24" s="56">
        <f t="shared" si="5"/>
        <v>7233105.6341532581</v>
      </c>
      <c r="G24" s="56">
        <f t="shared" si="5"/>
        <v>7336703.4441422131</v>
      </c>
      <c r="H24" s="56">
        <f t="shared" si="5"/>
        <v>7517651.6861068057</v>
      </c>
      <c r="I24" s="56">
        <f t="shared" si="5"/>
        <v>7772619.9030622421</v>
      </c>
      <c r="J24" s="56">
        <f t="shared" si="5"/>
        <v>8865775.4756243899</v>
      </c>
      <c r="K24" s="56">
        <f t="shared" si="5"/>
        <v>9951205.7223995533</v>
      </c>
    </row>
    <row r="25" spans="1:13" x14ac:dyDescent="0.6">
      <c r="A25" s="26"/>
      <c r="B25" s="27"/>
      <c r="C25" s="56"/>
      <c r="D25" s="56"/>
      <c r="E25" s="56"/>
      <c r="F25" s="56"/>
      <c r="G25" s="56"/>
      <c r="H25" s="56"/>
      <c r="I25" s="56"/>
      <c r="J25" s="56"/>
      <c r="K25" s="56"/>
      <c r="L25" s="62"/>
      <c r="M25" s="27"/>
    </row>
    <row r="26" spans="1:13" x14ac:dyDescent="0.6">
      <c r="A26" s="125"/>
      <c r="B26" s="126" t="s">
        <v>132</v>
      </c>
      <c r="C26" s="127"/>
      <c r="D26" s="127"/>
      <c r="E26" s="128"/>
      <c r="F26" s="128"/>
      <c r="G26" s="128"/>
      <c r="H26" s="128"/>
      <c r="I26" s="128"/>
      <c r="J26" s="128"/>
      <c r="K26" s="128"/>
    </row>
    <row r="27" spans="1:13" x14ac:dyDescent="0.6">
      <c r="A27" s="26"/>
      <c r="B27" s="27" t="s">
        <v>133</v>
      </c>
      <c r="C27" s="56">
        <f t="shared" ref="C27:K27" si="6">SUM(C12:C13)</f>
        <v>1887647.63</v>
      </c>
      <c r="D27" s="56">
        <f t="shared" si="6"/>
        <v>2423877.248363636</v>
      </c>
      <c r="E27" s="59">
        <f t="shared" si="6"/>
        <v>2940619.1569945449</v>
      </c>
      <c r="F27" s="59">
        <f t="shared" si="6"/>
        <v>3468237.0154032512</v>
      </c>
      <c r="G27" s="59">
        <f t="shared" si="6"/>
        <v>4013546.3682047054</v>
      </c>
      <c r="H27" s="59">
        <f t="shared" si="6"/>
        <v>4582251.2965599233</v>
      </c>
      <c r="I27" s="59">
        <f t="shared" si="6"/>
        <v>5177884.3844473911</v>
      </c>
      <c r="J27" s="59">
        <f t="shared" si="6"/>
        <v>6570569.6160517652</v>
      </c>
      <c r="K27" s="59">
        <f t="shared" si="6"/>
        <v>7919568.1398878172</v>
      </c>
    </row>
    <row r="28" spans="1:13" x14ac:dyDescent="0.6">
      <c r="A28" s="26"/>
      <c r="B28" s="27" t="s">
        <v>134</v>
      </c>
      <c r="C28" s="56">
        <f>C23</f>
        <v>505520</v>
      </c>
      <c r="D28" s="56">
        <f t="shared" ref="D28:K28" si="7">D23</f>
        <v>565270.03636363638</v>
      </c>
      <c r="E28" s="56">
        <f t="shared" si="7"/>
        <v>603509.39345454541</v>
      </c>
      <c r="F28" s="56">
        <f t="shared" si="7"/>
        <v>642564.14190545457</v>
      </c>
      <c r="G28" s="56">
        <f t="shared" si="7"/>
        <v>682491.35911156377</v>
      </c>
      <c r="H28" s="56">
        <f t="shared" si="7"/>
        <v>723352.11788573675</v>
      </c>
      <c r="I28" s="56">
        <f t="shared" si="7"/>
        <v>765211.76613773848</v>
      </c>
      <c r="J28" s="56">
        <f t="shared" si="7"/>
        <v>781549.31704010733</v>
      </c>
      <c r="K28" s="56">
        <f t="shared" si="7"/>
        <v>799030.49650564208</v>
      </c>
    </row>
    <row r="29" spans="1:13" x14ac:dyDescent="0.6">
      <c r="A29" s="26"/>
      <c r="B29" s="27" t="s">
        <v>139</v>
      </c>
      <c r="C29" s="12">
        <f>C27/C28</f>
        <v>3.7340711148915964</v>
      </c>
      <c r="D29" s="12">
        <f>D27/D28</f>
        <v>4.2879988190358702</v>
      </c>
      <c r="E29" s="13">
        <f t="shared" ref="E29:K29" si="8">E27/E28</f>
        <v>4.8725325386605167</v>
      </c>
      <c r="F29" s="13">
        <f t="shared" si="8"/>
        <v>5.3974954237542248</v>
      </c>
      <c r="G29" s="13">
        <f t="shared" si="8"/>
        <v>5.8807284731477889</v>
      </c>
      <c r="H29" s="13">
        <f t="shared" si="8"/>
        <v>6.3347451168778521</v>
      </c>
      <c r="I29" s="13">
        <f t="shared" si="8"/>
        <v>6.7666031987220769</v>
      </c>
      <c r="J29" s="13">
        <f t="shared" si="8"/>
        <v>8.4071081284235554</v>
      </c>
      <c r="K29" s="13">
        <f t="shared" si="8"/>
        <v>9.9114716828982701</v>
      </c>
    </row>
    <row r="30" spans="1:13" x14ac:dyDescent="0.6">
      <c r="A30" s="26"/>
      <c r="B30" s="22" t="s">
        <v>152</v>
      </c>
      <c r="C30" s="12"/>
      <c r="D30" s="12"/>
      <c r="E30" s="13"/>
      <c r="F30" s="13">
        <f>AVERAGE(C29:K29)</f>
        <v>6.1769727218235273</v>
      </c>
      <c r="G30" s="13"/>
      <c r="H30" s="13"/>
      <c r="I30" s="13"/>
      <c r="J30" s="13"/>
      <c r="K30" s="13"/>
    </row>
    <row r="31" spans="1:13" x14ac:dyDescent="0.6">
      <c r="A31" s="26"/>
      <c r="B31" s="27"/>
      <c r="C31" s="12"/>
      <c r="D31" s="12"/>
      <c r="E31" s="13"/>
      <c r="F31" s="13"/>
      <c r="G31" s="13"/>
      <c r="H31" s="13"/>
      <c r="I31" s="13"/>
      <c r="J31" s="13"/>
      <c r="K31" s="13"/>
    </row>
    <row r="32" spans="1:13" x14ac:dyDescent="0.6">
      <c r="A32" s="125"/>
      <c r="B32" s="126" t="s">
        <v>136</v>
      </c>
      <c r="C32" s="127"/>
      <c r="D32" s="127"/>
      <c r="E32" s="128"/>
      <c r="F32" s="128"/>
      <c r="G32" s="128"/>
      <c r="H32" s="128"/>
      <c r="I32" s="128"/>
      <c r="J32" s="128"/>
      <c r="K32" s="128"/>
    </row>
    <row r="33" spans="1:11" x14ac:dyDescent="0.6">
      <c r="A33" s="26"/>
      <c r="B33" s="27" t="s">
        <v>137</v>
      </c>
      <c r="C33" s="56">
        <f>C21+C22</f>
        <v>5642400.0000000009</v>
      </c>
      <c r="D33" s="56">
        <f t="shared" ref="D33:K33" si="9">D21+D22</f>
        <v>4777200.0000000019</v>
      </c>
      <c r="E33" s="56">
        <f t="shared" si="9"/>
        <v>3912000.0000000033</v>
      </c>
      <c r="F33" s="56">
        <f t="shared" si="9"/>
        <v>3046800.0000000037</v>
      </c>
      <c r="G33" s="56">
        <f t="shared" si="9"/>
        <v>2181600.0000000037</v>
      </c>
      <c r="H33" s="56">
        <f t="shared" si="9"/>
        <v>1316400.0000000033</v>
      </c>
      <c r="I33" s="56">
        <f t="shared" si="9"/>
        <v>450000</v>
      </c>
      <c r="J33" s="56">
        <f t="shared" si="9"/>
        <v>450000</v>
      </c>
      <c r="K33" s="56">
        <f t="shared" si="9"/>
        <v>450000</v>
      </c>
    </row>
    <row r="34" spans="1:11" x14ac:dyDescent="0.6">
      <c r="A34" s="26"/>
      <c r="B34" s="27" t="s">
        <v>138</v>
      </c>
      <c r="C34" s="56">
        <f t="shared" ref="C34:K34" si="10">C20</f>
        <v>1238877.6299999999</v>
      </c>
      <c r="D34" s="56">
        <f t="shared" si="10"/>
        <v>1924434.7119999998</v>
      </c>
      <c r="E34" s="59">
        <f t="shared" si="10"/>
        <v>2693558.1385399997</v>
      </c>
      <c r="F34" s="59">
        <f t="shared" si="10"/>
        <v>3543741.4922477994</v>
      </c>
      <c r="G34" s="59">
        <f t="shared" si="10"/>
        <v>4472612.0850306451</v>
      </c>
      <c r="H34" s="59">
        <f t="shared" si="10"/>
        <v>5477899.5682210652</v>
      </c>
      <c r="I34" s="59">
        <f t="shared" si="10"/>
        <v>6557408.1369245034</v>
      </c>
      <c r="J34" s="59">
        <f t="shared" si="10"/>
        <v>7634226.1585842827</v>
      </c>
      <c r="K34" s="59">
        <f t="shared" si="10"/>
        <v>8702175.225893911</v>
      </c>
    </row>
    <row r="35" spans="1:11" x14ac:dyDescent="0.6">
      <c r="A35" s="26"/>
      <c r="B35" s="27" t="s">
        <v>139</v>
      </c>
      <c r="C35" s="12">
        <f>C33/C34</f>
        <v>4.5544449777497409</v>
      </c>
      <c r="D35" s="12">
        <f t="shared" ref="D35:K35" si="11">D33/D34</f>
        <v>2.4823913070219046</v>
      </c>
      <c r="E35" s="13">
        <f t="shared" si="11"/>
        <v>1.4523540234852479</v>
      </c>
      <c r="F35" s="13">
        <f t="shared" si="11"/>
        <v>0.8597692598811475</v>
      </c>
      <c r="G35" s="13">
        <f t="shared" si="11"/>
        <v>0.48776865923641932</v>
      </c>
      <c r="H35" s="13">
        <f t="shared" si="11"/>
        <v>0.24031108705183893</v>
      </c>
      <c r="I35" s="14">
        <f t="shared" si="11"/>
        <v>6.8624674658584683E-2</v>
      </c>
      <c r="J35" s="14">
        <f t="shared" si="11"/>
        <v>5.8945070613869471E-2</v>
      </c>
      <c r="K35" s="14">
        <f t="shared" si="11"/>
        <v>5.1711208786165849E-2</v>
      </c>
    </row>
    <row r="36" spans="1:11" x14ac:dyDescent="0.6">
      <c r="A36" s="26"/>
      <c r="B36" s="22" t="s">
        <v>152</v>
      </c>
      <c r="C36" s="12"/>
      <c r="D36" s="12"/>
      <c r="E36" s="13"/>
      <c r="F36" s="13">
        <f>AVERAGE(C35:K35)</f>
        <v>1.1395911409427688</v>
      </c>
      <c r="G36" s="13"/>
      <c r="H36" s="13"/>
      <c r="I36" s="59"/>
      <c r="J36" s="59"/>
      <c r="K36" s="59"/>
    </row>
    <row r="37" spans="1:11" x14ac:dyDescent="0.6">
      <c r="A37" s="26"/>
      <c r="B37" s="27"/>
      <c r="C37" s="12"/>
      <c r="D37" s="12"/>
      <c r="E37" s="13"/>
      <c r="F37" s="13"/>
      <c r="G37" s="13"/>
      <c r="H37" s="13"/>
      <c r="I37" s="59"/>
      <c r="J37" s="59"/>
      <c r="K37" s="59"/>
    </row>
    <row r="38" spans="1:11" x14ac:dyDescent="0.6">
      <c r="A38" s="125"/>
      <c r="B38" s="126" t="s">
        <v>153</v>
      </c>
      <c r="C38" s="127"/>
      <c r="D38" s="127"/>
      <c r="E38" s="128"/>
      <c r="F38" s="128"/>
      <c r="G38" s="128"/>
      <c r="H38" s="128"/>
      <c r="I38" s="129"/>
      <c r="J38" s="129"/>
      <c r="K38" s="129"/>
    </row>
    <row r="39" spans="1:11" x14ac:dyDescent="0.6">
      <c r="A39" s="26"/>
      <c r="B39" s="22" t="s">
        <v>154</v>
      </c>
      <c r="C39" s="56">
        <f t="shared" ref="C39:K39" si="12">C11</f>
        <v>5499150</v>
      </c>
      <c r="D39" s="56">
        <f t="shared" si="12"/>
        <v>4843027.5</v>
      </c>
      <c r="E39" s="56">
        <f t="shared" si="12"/>
        <v>4268448.375</v>
      </c>
      <c r="F39" s="56">
        <f t="shared" si="12"/>
        <v>3764868.6187499999</v>
      </c>
      <c r="G39" s="56">
        <f t="shared" si="12"/>
        <v>3323157.0759374998</v>
      </c>
      <c r="H39" s="56">
        <f t="shared" si="12"/>
        <v>2935400.3895468749</v>
      </c>
      <c r="I39" s="56">
        <f t="shared" si="12"/>
        <v>2594735.5186148435</v>
      </c>
      <c r="J39" s="56">
        <f t="shared" si="12"/>
        <v>2295205.8595726169</v>
      </c>
      <c r="K39" s="56">
        <f t="shared" si="12"/>
        <v>2031637.5825117244</v>
      </c>
    </row>
    <row r="40" spans="1:11" x14ac:dyDescent="0.6">
      <c r="A40" s="26"/>
      <c r="B40" s="22" t="s">
        <v>137</v>
      </c>
      <c r="C40" s="56">
        <f t="shared" ref="C40:K40" si="13">C21+C22</f>
        <v>5642400.0000000009</v>
      </c>
      <c r="D40" s="56">
        <f t="shared" si="13"/>
        <v>4777200.0000000019</v>
      </c>
      <c r="E40" s="56">
        <f t="shared" si="13"/>
        <v>3912000.0000000033</v>
      </c>
      <c r="F40" s="56">
        <f t="shared" si="13"/>
        <v>3046800.0000000037</v>
      </c>
      <c r="G40" s="56">
        <f t="shared" si="13"/>
        <v>2181600.0000000037</v>
      </c>
      <c r="H40" s="56">
        <f t="shared" si="13"/>
        <v>1316400.0000000033</v>
      </c>
      <c r="I40" s="56">
        <f t="shared" si="13"/>
        <v>450000</v>
      </c>
      <c r="J40" s="56">
        <f t="shared" si="13"/>
        <v>450000</v>
      </c>
      <c r="K40" s="56">
        <f t="shared" si="13"/>
        <v>450000</v>
      </c>
    </row>
    <row r="41" spans="1:11" x14ac:dyDescent="0.6">
      <c r="A41" s="26"/>
      <c r="B41" s="22" t="s">
        <v>148</v>
      </c>
      <c r="C41" s="12">
        <f>C39/C40</f>
        <v>0.97461186729051452</v>
      </c>
      <c r="D41" s="12">
        <f t="shared" ref="D41:G41" si="14">D39/D40</f>
        <v>1.0137795151971862</v>
      </c>
      <c r="E41" s="12">
        <f t="shared" si="14"/>
        <v>1.0911166602760727</v>
      </c>
      <c r="F41" s="12">
        <f t="shared" si="14"/>
        <v>1.2356796044210303</v>
      </c>
      <c r="G41" s="12">
        <f t="shared" si="14"/>
        <v>1.5232659864033251</v>
      </c>
      <c r="H41" s="56">
        <v>0</v>
      </c>
      <c r="I41" s="56">
        <v>0</v>
      </c>
      <c r="J41" s="56">
        <v>0</v>
      </c>
      <c r="K41" s="56">
        <v>0</v>
      </c>
    </row>
    <row r="42" spans="1:11" x14ac:dyDescent="0.6">
      <c r="A42" s="26"/>
      <c r="B42" s="22"/>
      <c r="C42" s="12"/>
      <c r="D42" s="12"/>
      <c r="E42" s="13"/>
      <c r="F42" s="13">
        <f>AVERAGE(C41:K41)</f>
        <v>0.64871707039868098</v>
      </c>
      <c r="G42" s="13"/>
      <c r="H42" s="13"/>
      <c r="I42" s="13"/>
      <c r="J42" s="13"/>
      <c r="K42" s="13"/>
    </row>
    <row r="43" spans="1:11" x14ac:dyDescent="0.6">
      <c r="A43" s="26"/>
      <c r="B43" s="27"/>
      <c r="C43" s="12"/>
      <c r="D43" s="12"/>
      <c r="E43" s="13"/>
      <c r="F43" s="13"/>
      <c r="G43" s="13"/>
      <c r="H43" s="13"/>
      <c r="I43" s="59"/>
      <c r="J43" s="59"/>
      <c r="K43" s="59"/>
    </row>
    <row r="44" spans="1:11" x14ac:dyDescent="0.6">
      <c r="A44" s="125"/>
      <c r="B44" s="126" t="s">
        <v>145</v>
      </c>
      <c r="C44" s="127"/>
      <c r="D44" s="127"/>
      <c r="E44" s="128"/>
      <c r="F44" s="128"/>
      <c r="G44" s="128"/>
      <c r="H44" s="128"/>
      <c r="I44" s="129"/>
      <c r="J44" s="129"/>
      <c r="K44" s="129"/>
    </row>
    <row r="45" spans="1:11" x14ac:dyDescent="0.6">
      <c r="A45" s="26"/>
      <c r="B45" s="27" t="s">
        <v>146</v>
      </c>
      <c r="C45" s="58">
        <f>'Ann 4'!C25</f>
        <v>379255.5</v>
      </c>
      <c r="D45" s="58">
        <f>'Ann 4'!D25</f>
        <v>337077.00000000006</v>
      </c>
      <c r="E45" s="58">
        <f>'Ann 4'!E25</f>
        <v>285165.00000000012</v>
      </c>
      <c r="F45" s="58">
        <f>'Ann 4'!F25</f>
        <v>233253.00000000023</v>
      </c>
      <c r="G45" s="58">
        <f>'Ann 4'!G25</f>
        <v>181341.0000000002</v>
      </c>
      <c r="H45" s="58">
        <f>'Ann 4'!H25</f>
        <v>129429.0000000002</v>
      </c>
      <c r="I45" s="58">
        <f>'Ann 4'!I25</f>
        <v>77517.000000000204</v>
      </c>
      <c r="J45" s="58">
        <f>'Ann 4'!J25</f>
        <v>45000</v>
      </c>
      <c r="K45" s="58">
        <f>'Ann 4'!K25</f>
        <v>45000</v>
      </c>
    </row>
    <row r="46" spans="1:11" x14ac:dyDescent="0.6">
      <c r="A46" s="26"/>
      <c r="B46" s="27" t="s">
        <v>149</v>
      </c>
      <c r="C46" s="58">
        <f>(SUM('Ann 13'!D9:D12)*100000)+('Ann 1'!$C$25*100000)</f>
        <v>882600</v>
      </c>
      <c r="D46" s="58">
        <f>(SUM('Ann 13'!D13:D16)*100000)+('Ann 1'!$C$25*100000)</f>
        <v>1315200</v>
      </c>
      <c r="E46" s="58">
        <f>(SUM('Ann 13'!D17:D20)*100000)+('Ann 1'!$C$25*100000)</f>
        <v>1315200</v>
      </c>
      <c r="F46" s="58">
        <f>(SUM('Ann 13'!D21:D24)*100000)+('Ann 1'!$C$25*100000)</f>
        <v>1315200</v>
      </c>
      <c r="G46" s="58">
        <f>(SUM('Ann 13'!D25:D28)*100000)+('Ann 1'!$C$25*100000)</f>
        <v>1315200</v>
      </c>
      <c r="H46" s="58">
        <f>(SUM('Ann 13'!D29:D32)*100000)+('Ann 1'!$C$25*100000)</f>
        <v>1315200</v>
      </c>
      <c r="I46" s="58">
        <f>(SUM('Ann 13'!D33:D36)*100000)+('Ann 1'!$C$25*100000)</f>
        <v>1316400.0000000033</v>
      </c>
      <c r="J46" s="58">
        <f>(SUM('Ann 13'!D37:D37)*100000)+('Ann 1'!$C$25*100000)</f>
        <v>450000</v>
      </c>
      <c r="K46" s="58">
        <f>(SUM('Ann 13'!D38:D39)*100000)+('Ann 1'!$C$25*100000)</f>
        <v>450000</v>
      </c>
    </row>
    <row r="47" spans="1:11" x14ac:dyDescent="0.6">
      <c r="A47" s="26"/>
      <c r="B47" s="27" t="s">
        <v>8</v>
      </c>
      <c r="C47" s="58">
        <f>SUM(C45:C46)</f>
        <v>1261855.5</v>
      </c>
      <c r="D47" s="58">
        <f t="shared" ref="D47:K47" si="15">SUM(D45:D46)</f>
        <v>1652277</v>
      </c>
      <c r="E47" s="61">
        <f t="shared" si="15"/>
        <v>1600365</v>
      </c>
      <c r="F47" s="61">
        <f t="shared" si="15"/>
        <v>1548453.0000000002</v>
      </c>
      <c r="G47" s="61">
        <f t="shared" si="15"/>
        <v>1496541.0000000002</v>
      </c>
      <c r="H47" s="61">
        <f t="shared" si="15"/>
        <v>1444629.0000000002</v>
      </c>
      <c r="I47" s="61">
        <f t="shared" si="15"/>
        <v>1393917.0000000035</v>
      </c>
      <c r="J47" s="61">
        <f t="shared" si="15"/>
        <v>495000</v>
      </c>
      <c r="K47" s="61">
        <f t="shared" si="15"/>
        <v>495000</v>
      </c>
    </row>
    <row r="48" spans="1:11" x14ac:dyDescent="0.6">
      <c r="A48" s="26"/>
      <c r="B48" s="27" t="s">
        <v>147</v>
      </c>
      <c r="C48" s="58">
        <f>'Ann 4'!C20</f>
        <v>5229660</v>
      </c>
      <c r="D48" s="58">
        <f>'Ann 4'!D20</f>
        <v>5890035.7999999998</v>
      </c>
      <c r="E48" s="61">
        <f>'Ann 4'!E20</f>
        <v>6353482.8859999999</v>
      </c>
      <c r="F48" s="61">
        <f>'Ann 4'!F20</f>
        <v>6809570.9970199997</v>
      </c>
      <c r="G48" s="61">
        <f>'Ann 4'!G20</f>
        <v>7257842.4912613994</v>
      </c>
      <c r="H48" s="61">
        <f>'Ann 4'!H20</f>
        <v>7697810.5663221981</v>
      </c>
      <c r="I48" s="61">
        <f>'Ann 4'!I20</f>
        <v>8128957.3616708759</v>
      </c>
      <c r="J48" s="61">
        <f>'Ann 4'!J20</f>
        <v>8036086.9566120813</v>
      </c>
      <c r="K48" s="61">
        <f>'Ann 4'!K20</f>
        <v>7936775.900701086</v>
      </c>
    </row>
    <row r="49" spans="1:11" x14ac:dyDescent="0.6">
      <c r="A49" s="63"/>
      <c r="B49" s="64" t="s">
        <v>148</v>
      </c>
      <c r="C49" s="18">
        <f>C48/C47</f>
        <v>4.1444206567233728</v>
      </c>
      <c r="D49" s="18">
        <f t="shared" ref="D49:H49" si="16">D48/D47</f>
        <v>3.5647992437103464</v>
      </c>
      <c r="E49" s="65">
        <f t="shared" si="16"/>
        <v>3.9700211426768268</v>
      </c>
      <c r="F49" s="65">
        <f t="shared" si="16"/>
        <v>4.3976607601393125</v>
      </c>
      <c r="G49" s="65">
        <f t="shared" si="16"/>
        <v>4.8497451732103549</v>
      </c>
      <c r="H49" s="65">
        <f t="shared" si="16"/>
        <v>5.3285726413648051</v>
      </c>
      <c r="I49" s="66">
        <v>0</v>
      </c>
      <c r="J49" s="66">
        <v>0</v>
      </c>
      <c r="K49" s="66">
        <v>0</v>
      </c>
    </row>
    <row r="50" spans="1:11" x14ac:dyDescent="0.6">
      <c r="A50" s="27"/>
      <c r="B50" s="22" t="s">
        <v>152</v>
      </c>
      <c r="C50" s="27"/>
      <c r="D50" s="27"/>
      <c r="E50" s="27"/>
      <c r="F50" s="27">
        <f>AVERAGE(C49:G49)</f>
        <v>4.185329395292043</v>
      </c>
      <c r="G50" s="27"/>
      <c r="H50" s="27"/>
      <c r="I50" s="27"/>
      <c r="J50" s="27"/>
      <c r="K50" s="27"/>
    </row>
    <row r="51" spans="1:11" x14ac:dyDescent="0.6">
      <c r="I51" s="51"/>
      <c r="J51" s="51"/>
      <c r="K51" s="51"/>
    </row>
    <row r="53" spans="1:11" x14ac:dyDescent="0.6">
      <c r="A53" s="6" t="s">
        <v>224</v>
      </c>
    </row>
    <row r="54" spans="1:11" x14ac:dyDescent="0.6">
      <c r="A54" s="6" t="s">
        <v>135</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 t="s">
        <v>227</v>
      </c>
    </row>
    <row r="3" spans="1:3" x14ac:dyDescent="0.35">
      <c r="A3" s="1" t="s">
        <v>230</v>
      </c>
    </row>
    <row r="5" spans="1:3" x14ac:dyDescent="0.35">
      <c r="A5" s="2" t="s">
        <v>228</v>
      </c>
    </row>
    <row r="6" spans="1:3" x14ac:dyDescent="0.35">
      <c r="A6" s="3" t="s">
        <v>236</v>
      </c>
    </row>
    <row r="7" spans="1:3" x14ac:dyDescent="0.35">
      <c r="A7" t="s">
        <v>229</v>
      </c>
      <c r="B7">
        <v>5</v>
      </c>
      <c r="C7" t="s">
        <v>233</v>
      </c>
    </row>
    <row r="8" spans="1:3" x14ac:dyDescent="0.35">
      <c r="A8" t="s">
        <v>231</v>
      </c>
      <c r="B8">
        <v>30</v>
      </c>
      <c r="C8" t="s">
        <v>234</v>
      </c>
    </row>
    <row r="9" spans="1:3" x14ac:dyDescent="0.35">
      <c r="A9" t="s">
        <v>232</v>
      </c>
      <c r="B9">
        <f>B8*3000*20/B7</f>
        <v>360000</v>
      </c>
      <c r="C9" t="s">
        <v>235</v>
      </c>
    </row>
    <row r="11" spans="1:3" x14ac:dyDescent="0.35">
      <c r="A11" s="3" t="s">
        <v>237</v>
      </c>
    </row>
    <row r="12" spans="1:3" x14ac:dyDescent="0.35">
      <c r="A12" s="3" t="s">
        <v>229</v>
      </c>
      <c r="B12">
        <v>0.5</v>
      </c>
      <c r="C12" t="s">
        <v>238</v>
      </c>
    </row>
    <row r="13" spans="1:3" x14ac:dyDescent="0.35">
      <c r="A13" s="3" t="s">
        <v>239</v>
      </c>
      <c r="B13">
        <f>B12*3000*30</f>
        <v>45000</v>
      </c>
      <c r="C13" t="s">
        <v>240</v>
      </c>
    </row>
    <row r="15" spans="1:3" x14ac:dyDescent="0.35">
      <c r="A15" t="s">
        <v>241</v>
      </c>
      <c r="B15">
        <f>B13+B9</f>
        <v>405000</v>
      </c>
    </row>
    <row r="16" spans="1:3" x14ac:dyDescent="0.35">
      <c r="A16" t="s">
        <v>242</v>
      </c>
      <c r="B16">
        <v>75</v>
      </c>
    </row>
    <row r="17" spans="1:2" x14ac:dyDescent="0.35">
      <c r="A17" t="s">
        <v>243</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8"/>
  <sheetViews>
    <sheetView workbookViewId="0">
      <selection activeCell="A5" sqref="A5:E5"/>
    </sheetView>
  </sheetViews>
  <sheetFormatPr defaultRowHeight="17" x14ac:dyDescent="0.6"/>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x14ac:dyDescent="0.6">
      <c r="A1" s="5" t="s">
        <v>287</v>
      </c>
    </row>
    <row r="3" spans="1:5" x14ac:dyDescent="0.6">
      <c r="A3" s="67" t="s">
        <v>156</v>
      </c>
    </row>
    <row r="5" spans="1:5" s="5" customFormat="1" x14ac:dyDescent="0.6">
      <c r="A5" s="111" t="s">
        <v>52</v>
      </c>
      <c r="B5" s="111" t="s">
        <v>53</v>
      </c>
      <c r="C5" s="111" t="s">
        <v>54</v>
      </c>
      <c r="D5" s="111" t="s">
        <v>55</v>
      </c>
      <c r="E5" s="111" t="s">
        <v>223</v>
      </c>
    </row>
    <row r="6" spans="1:5" x14ac:dyDescent="0.6">
      <c r="A6" s="20" t="s">
        <v>56</v>
      </c>
      <c r="B6" s="20" t="s">
        <v>266</v>
      </c>
      <c r="C6" s="20">
        <v>1</v>
      </c>
      <c r="D6" s="52">
        <v>13000</v>
      </c>
      <c r="E6" s="52">
        <f>D6*C6*12</f>
        <v>156000</v>
      </c>
    </row>
    <row r="7" spans="1:5" x14ac:dyDescent="0.6">
      <c r="A7" s="8" t="s">
        <v>57</v>
      </c>
      <c r="B7" s="8" t="s">
        <v>267</v>
      </c>
      <c r="C7" s="8">
        <v>1</v>
      </c>
      <c r="D7" s="52">
        <v>12000</v>
      </c>
      <c r="E7" s="52">
        <f>D7*C7*12</f>
        <v>144000</v>
      </c>
    </row>
    <row r="8" spans="1:5" x14ac:dyDescent="0.6">
      <c r="A8" s="8" t="s">
        <v>60</v>
      </c>
      <c r="B8" s="8" t="s">
        <v>269</v>
      </c>
      <c r="C8" s="8">
        <v>1</v>
      </c>
      <c r="D8" s="52">
        <v>8000</v>
      </c>
      <c r="E8" s="52">
        <f>D8*C8*12</f>
        <v>96000</v>
      </c>
    </row>
    <row r="9" spans="1:5" x14ac:dyDescent="0.6">
      <c r="A9" s="8" t="s">
        <v>221</v>
      </c>
      <c r="B9" s="8" t="s">
        <v>222</v>
      </c>
      <c r="C9" s="8">
        <v>2</v>
      </c>
      <c r="D9" s="52">
        <v>9000</v>
      </c>
      <c r="E9" s="52">
        <f>D9*C9*12</f>
        <v>216000</v>
      </c>
    </row>
    <row r="10" spans="1:5" x14ac:dyDescent="0.6">
      <c r="A10" s="8" t="s">
        <v>268</v>
      </c>
      <c r="B10" s="8" t="s">
        <v>157</v>
      </c>
      <c r="C10" s="8">
        <v>1</v>
      </c>
      <c r="D10" s="52">
        <v>8400</v>
      </c>
      <c r="E10" s="52">
        <f>D10*C10*12</f>
        <v>100800</v>
      </c>
    </row>
    <row r="11" spans="1:5" x14ac:dyDescent="0.6">
      <c r="A11" s="133" t="s">
        <v>8</v>
      </c>
      <c r="B11" s="133"/>
      <c r="C11" s="133"/>
      <c r="D11" s="133"/>
      <c r="E11" s="68">
        <f>SUM(E6:E10)</f>
        <v>712800</v>
      </c>
    </row>
    <row r="12" spans="1:5" x14ac:dyDescent="0.6">
      <c r="A12" s="35"/>
      <c r="B12" s="37"/>
      <c r="C12" s="37"/>
      <c r="D12" s="37"/>
      <c r="E12" s="55"/>
    </row>
    <row r="13" spans="1:5" x14ac:dyDescent="0.6">
      <c r="A13" s="63" t="s">
        <v>253</v>
      </c>
      <c r="B13" s="64"/>
      <c r="C13" s="64"/>
      <c r="D13" s="64"/>
      <c r="E13" s="69">
        <f>E11*20%</f>
        <v>142560</v>
      </c>
    </row>
    <row r="14" spans="1:5" x14ac:dyDescent="0.6">
      <c r="A14" s="30" t="s">
        <v>8</v>
      </c>
      <c r="B14" s="31"/>
      <c r="C14" s="31"/>
      <c r="D14" s="31"/>
      <c r="E14" s="70">
        <f>SUM(E11:E13)</f>
        <v>855360</v>
      </c>
    </row>
    <row r="16" spans="1:5" x14ac:dyDescent="0.6">
      <c r="A16" s="6" t="s">
        <v>58</v>
      </c>
      <c r="E16" s="51">
        <f>E14</f>
        <v>855360</v>
      </c>
    </row>
    <row r="17" spans="1:5" x14ac:dyDescent="0.6">
      <c r="A17" s="6" t="s">
        <v>59</v>
      </c>
      <c r="E17" s="71">
        <v>7.0000000000000007E-2</v>
      </c>
    </row>
    <row r="18" spans="1:5" x14ac:dyDescent="0.6">
      <c r="A18" s="6" t="s">
        <v>159</v>
      </c>
      <c r="E18" s="6">
        <f>SUM(C6:C10)</f>
        <v>6</v>
      </c>
    </row>
  </sheetData>
  <mergeCells count="1">
    <mergeCell ref="A11:D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A6" sqref="A6"/>
    </sheetView>
  </sheetViews>
  <sheetFormatPr defaultRowHeight="17" x14ac:dyDescent="0.6"/>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x14ac:dyDescent="0.6">
      <c r="A1" s="5" t="s">
        <v>62</v>
      </c>
    </row>
    <row r="3" spans="1:6" x14ac:dyDescent="0.6">
      <c r="A3" s="67" t="s">
        <v>61</v>
      </c>
    </row>
    <row r="5" spans="1:6" s="5" customFormat="1" x14ac:dyDescent="0.6">
      <c r="A5" s="111" t="s">
        <v>24</v>
      </c>
      <c r="B5" s="111" t="s">
        <v>3</v>
      </c>
      <c r="C5" s="111" t="s">
        <v>65</v>
      </c>
      <c r="D5" s="111" t="s">
        <v>11</v>
      </c>
      <c r="E5" s="111" t="s">
        <v>66</v>
      </c>
      <c r="F5" s="111" t="s">
        <v>67</v>
      </c>
    </row>
    <row r="6" spans="1:6" x14ac:dyDescent="0.6">
      <c r="A6" s="8" t="s">
        <v>56</v>
      </c>
      <c r="B6" s="8" t="s">
        <v>13</v>
      </c>
      <c r="C6" s="52">
        <f>('Ann 1'!C12*100000)+('Ann 1'!C37*100000)</f>
        <v>3750000</v>
      </c>
      <c r="D6" s="52">
        <f>('Ann 1'!C20+'Ann 1'!C37)*100000</f>
        <v>2499000</v>
      </c>
      <c r="E6" s="52">
        <v>0</v>
      </c>
      <c r="F6" s="72">
        <f>SUM(C6:E6)/100000</f>
        <v>62.49</v>
      </c>
    </row>
    <row r="7" spans="1:6" x14ac:dyDescent="0.6">
      <c r="A7" s="8" t="s">
        <v>57</v>
      </c>
      <c r="B7" s="8" t="s">
        <v>63</v>
      </c>
      <c r="C7" s="52">
        <v>0</v>
      </c>
      <c r="D7" s="52">
        <v>0</v>
      </c>
      <c r="E7" s="52">
        <v>0</v>
      </c>
      <c r="F7" s="73">
        <f>SUM(C7:E7)/100000</f>
        <v>0</v>
      </c>
    </row>
    <row r="8" spans="1:6" x14ac:dyDescent="0.6">
      <c r="A8" s="8" t="s">
        <v>60</v>
      </c>
      <c r="B8" s="8" t="s">
        <v>64</v>
      </c>
      <c r="C8" s="52">
        <v>0</v>
      </c>
      <c r="D8" s="52">
        <v>0</v>
      </c>
      <c r="E8" s="52">
        <v>0</v>
      </c>
      <c r="F8" s="73">
        <f>SUM(C8:E8)/100000</f>
        <v>0</v>
      </c>
    </row>
    <row r="9" spans="1:6" x14ac:dyDescent="0.6">
      <c r="A9" s="8"/>
      <c r="B9" s="133" t="s">
        <v>8</v>
      </c>
      <c r="C9" s="133"/>
      <c r="D9" s="133"/>
      <c r="E9" s="133"/>
      <c r="F9" s="72">
        <f>SUM(F6:F8)</f>
        <v>62.49</v>
      </c>
    </row>
    <row r="11" spans="1:6" s="5" customFormat="1" x14ac:dyDescent="0.6">
      <c r="A11" s="7"/>
      <c r="B11" s="7" t="s">
        <v>68</v>
      </c>
      <c r="C11" s="79">
        <v>0.1</v>
      </c>
      <c r="D11" s="79">
        <v>0.15</v>
      </c>
      <c r="E11" s="79">
        <v>0.1</v>
      </c>
      <c r="F11" s="7" t="s">
        <v>174</v>
      </c>
    </row>
    <row r="12" spans="1:6" x14ac:dyDescent="0.6">
      <c r="A12" s="75" t="s">
        <v>69</v>
      </c>
      <c r="B12" s="76">
        <v>1</v>
      </c>
      <c r="C12" s="77">
        <f>C11*C6</f>
        <v>375000</v>
      </c>
      <c r="D12" s="77">
        <f>D11*D6</f>
        <v>374850</v>
      </c>
      <c r="E12" s="77">
        <f>E11*E6</f>
        <v>0</v>
      </c>
      <c r="F12" s="77">
        <f>SUM(C12:E12)</f>
        <v>749850</v>
      </c>
    </row>
    <row r="13" spans="1:6" x14ac:dyDescent="0.6">
      <c r="A13" s="75" t="s">
        <v>69</v>
      </c>
      <c r="B13" s="76">
        <v>2</v>
      </c>
      <c r="C13" s="77">
        <f>(C6-C12)*C11</f>
        <v>337500</v>
      </c>
      <c r="D13" s="77">
        <f>(D6-D12)*D11</f>
        <v>318622.5</v>
      </c>
      <c r="E13" s="77">
        <f>(E6-E12)*E11</f>
        <v>0</v>
      </c>
      <c r="F13" s="77">
        <f>SUM(C13:E13)</f>
        <v>656122.5</v>
      </c>
    </row>
    <row r="14" spans="1:6" x14ac:dyDescent="0.6">
      <c r="A14" s="75" t="s">
        <v>69</v>
      </c>
      <c r="B14" s="76">
        <v>3</v>
      </c>
      <c r="C14" s="77">
        <f>(C6-C12-C13)*C11</f>
        <v>303750</v>
      </c>
      <c r="D14" s="77">
        <f>(D6-D12-D13)*D11</f>
        <v>270829.125</v>
      </c>
      <c r="E14" s="77">
        <f>(E6-E12-E13)*E11</f>
        <v>0</v>
      </c>
      <c r="F14" s="77">
        <f t="shared" ref="F14:F20" si="0">SUM(C14:E14)</f>
        <v>574579.125</v>
      </c>
    </row>
    <row r="15" spans="1:6" x14ac:dyDescent="0.6">
      <c r="A15" s="75" t="s">
        <v>69</v>
      </c>
      <c r="B15" s="76">
        <v>4</v>
      </c>
      <c r="C15" s="77">
        <f>(C6-C12-C13-C14)*C11</f>
        <v>273375</v>
      </c>
      <c r="D15" s="77">
        <f>(D6-D12-D13-D14)*D11</f>
        <v>230204.75625000001</v>
      </c>
      <c r="E15" s="77">
        <f>(E6-E12-E13-E14)*E11</f>
        <v>0</v>
      </c>
      <c r="F15" s="77">
        <f t="shared" si="0"/>
        <v>503579.75624999998</v>
      </c>
    </row>
    <row r="16" spans="1:6" x14ac:dyDescent="0.6">
      <c r="A16" s="75" t="s">
        <v>69</v>
      </c>
      <c r="B16" s="76">
        <v>5</v>
      </c>
      <c r="C16" s="77">
        <f>(C6-C12-C13-C14-C15)*C11</f>
        <v>246037.5</v>
      </c>
      <c r="D16" s="77">
        <f>(D6-D12-D13-D14-D15)*D11</f>
        <v>195674.04281249997</v>
      </c>
      <c r="E16" s="77">
        <f>(E6-E12-E13-E14-E15)*E11</f>
        <v>0</v>
      </c>
      <c r="F16" s="77">
        <f t="shared" si="0"/>
        <v>441711.54281249997</v>
      </c>
    </row>
    <row r="17" spans="1:6" x14ac:dyDescent="0.6">
      <c r="A17" s="75" t="s">
        <v>69</v>
      </c>
      <c r="B17" s="76">
        <v>6</v>
      </c>
      <c r="C17" s="77">
        <f>(C6-C12-C13-C14-C15-C16)*C11</f>
        <v>221433.75</v>
      </c>
      <c r="D17" s="77">
        <f>(D6-D12-D13-D14-D15-D16)*D11</f>
        <v>166322.93639062499</v>
      </c>
      <c r="E17" s="77">
        <f>(E6-E12-E13-E14-E15-E16)*E11</f>
        <v>0</v>
      </c>
      <c r="F17" s="77">
        <f t="shared" si="0"/>
        <v>387756.68639062496</v>
      </c>
    </row>
    <row r="18" spans="1:6" x14ac:dyDescent="0.6">
      <c r="A18" s="75" t="s">
        <v>69</v>
      </c>
      <c r="B18" s="76">
        <v>7</v>
      </c>
      <c r="C18" s="77">
        <f>(C6-C12-C13-C14-C15-C16-C17)*C11</f>
        <v>199290.375</v>
      </c>
      <c r="D18" s="77">
        <f>(D6-D12-D13-D14-D15-D16-D17)*D11</f>
        <v>141374.49593203125</v>
      </c>
      <c r="E18" s="77">
        <f>(E6-E12-E13-E14-E15-E16-E17)*E11</f>
        <v>0</v>
      </c>
      <c r="F18" s="77">
        <f t="shared" si="0"/>
        <v>340664.87093203125</v>
      </c>
    </row>
    <row r="19" spans="1:6" x14ac:dyDescent="0.6">
      <c r="A19" s="75" t="s">
        <v>69</v>
      </c>
      <c r="B19" s="76">
        <v>8</v>
      </c>
      <c r="C19" s="77">
        <f>(C6-C12-C13-C14-C15-C16-C17-C18)*C11</f>
        <v>179361.33750000002</v>
      </c>
      <c r="D19" s="77">
        <f>(D6-D12-D13-D14-D15-D16-D17-D18)*D11</f>
        <v>120168.32154222655</v>
      </c>
      <c r="E19" s="77">
        <f>(E6-E12-E13-E14-E15-E16-E17-E18)*E11</f>
        <v>0</v>
      </c>
      <c r="F19" s="77">
        <f t="shared" si="0"/>
        <v>299529.65904222656</v>
      </c>
    </row>
    <row r="20" spans="1:6" x14ac:dyDescent="0.6">
      <c r="A20" s="75" t="s">
        <v>69</v>
      </c>
      <c r="B20" s="76">
        <v>9</v>
      </c>
      <c r="C20" s="77">
        <f>(C6-C12-C13-C14-C15-C16-C17-C18-C19)*C11</f>
        <v>161425.20375000002</v>
      </c>
      <c r="D20" s="77">
        <f>(D6-D12-D13-D14-D15-D16-D17-D18-D19)*D11</f>
        <v>102143.07331089256</v>
      </c>
      <c r="E20" s="77">
        <f>(E6-E12-E13-E14-E15-E16-E17-E18-E19)*E11</f>
        <v>0</v>
      </c>
      <c r="F20" s="77">
        <f t="shared" si="0"/>
        <v>263568.27706089255</v>
      </c>
    </row>
    <row r="21" spans="1:6" x14ac:dyDescent="0.6">
      <c r="B21" s="19"/>
    </row>
    <row r="22" spans="1:6" x14ac:dyDescent="0.6">
      <c r="A22" s="78"/>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Budgets</vt:lpstr>
      <vt:lpstr>Cash flows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2021-07-26T07:52:42Z</cp:lastPrinted>
  <dcterms:created xsi:type="dcterms:W3CDTF">2021-07-04T07:21:16Z</dcterms:created>
  <dcterms:modified xsi:type="dcterms:W3CDTF">2021-07-26T10:04:29Z</dcterms:modified>
</cp:coreProperties>
</file>