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uncle's bid for work\3. Banana Ripening centre\"/>
    </mc:Choice>
  </mc:AlternateContent>
  <xr:revisionPtr revIDLastSave="0" documentId="13_ncr:1_{104E8281-1714-4DD2-A484-EBD1298C8741}" xr6:coauthVersionLast="47" xr6:coauthVersionMax="47" xr10:uidLastSave="{00000000-0000-0000-0000-000000000000}"/>
  <bookViews>
    <workbookView xWindow="-110" yWindow="-110" windowWidth="19420" windowHeight="11020" xr2:uid="{8B0049CE-B79C-4EF0-8FA8-FBBF9BECEBD1}"/>
  </bookViews>
  <sheets>
    <sheet name="Contents" sheetId="21" r:id="rId1"/>
    <sheet name="Ann 1" sheetId="1" r:id="rId2"/>
    <sheet name="Ann 2" sheetId="2" r:id="rId3"/>
    <sheet name="Ann 3" sheetId="3" r:id="rId4"/>
    <sheet name="Ann 4" sheetId="4" r:id="rId5"/>
    <sheet name="Ann 5" sheetId="7" r:id="rId6"/>
    <sheet name="Ann 8" sheetId="9" r:id="rId7"/>
    <sheet name="Ann 9" sheetId="10" r:id="rId8"/>
    <sheet name="Ann 10" sheetId="13" r:id="rId9"/>
    <sheet name="Ann 11" sheetId="11" r:id="rId10"/>
    <sheet name="Ann 12" sheetId="12" state="hidden" r:id="rId11"/>
    <sheet name="Ann 13" sheetId="14" r:id="rId12"/>
    <sheet name="Budgets" sheetId="19" r:id="rId13"/>
    <sheet name="Cash flows" sheetId="18" r:id="rId14"/>
    <sheet name="Assumptions" sheetId="22" r:id="rId15"/>
    <sheet name="For word file" sheetId="20" state="hidden" r:id="rId16"/>
    <sheet name="Sheet1" sheetId="15" state="hidden" r:id="rId17"/>
  </sheets>
  <externalReferences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D27" i="4"/>
  <c r="E27" i="4"/>
  <c r="F27" i="4"/>
  <c r="G27" i="4"/>
  <c r="H27" i="4"/>
  <c r="I27" i="4"/>
  <c r="J27" i="4"/>
  <c r="K27" i="4"/>
  <c r="C27" i="4"/>
  <c r="E7" i="22" l="1"/>
  <c r="D7" i="22"/>
  <c r="F6" i="22"/>
  <c r="F7" i="22" s="1"/>
  <c r="E6" i="22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C24" i="7"/>
  <c r="D24" i="7"/>
  <c r="E24" i="7"/>
  <c r="F24" i="7"/>
  <c r="G24" i="7"/>
  <c r="H24" i="7"/>
  <c r="I24" i="7"/>
  <c r="J24" i="7"/>
  <c r="K24" i="7"/>
  <c r="J19" i="18"/>
  <c r="I19" i="18"/>
  <c r="H19" i="18"/>
  <c r="G19" i="18"/>
  <c r="F19" i="18"/>
  <c r="E19" i="18"/>
  <c r="D19" i="18"/>
  <c r="C19" i="18"/>
  <c r="B19" i="18"/>
  <c r="G6" i="22" l="1"/>
  <c r="C16" i="4"/>
  <c r="F14" i="11"/>
  <c r="E11" i="11"/>
  <c r="C44" i="4"/>
  <c r="D43" i="4"/>
  <c r="E43" i="4" s="1"/>
  <c r="F43" i="4" s="1"/>
  <c r="G43" i="4" s="1"/>
  <c r="H43" i="4" s="1"/>
  <c r="I43" i="4" s="1"/>
  <c r="J43" i="4" s="1"/>
  <c r="K43" i="4" s="1"/>
  <c r="D24" i="11"/>
  <c r="D23" i="11"/>
  <c r="I40" i="7"/>
  <c r="J40" i="7"/>
  <c r="K40" i="7"/>
  <c r="E10" i="11"/>
  <c r="G7" i="22" l="1"/>
  <c r="H6" i="22"/>
  <c r="B14" i="19"/>
  <c r="B15" i="19" s="1"/>
  <c r="B18" i="19" s="1"/>
  <c r="H7" i="22" l="1"/>
  <c r="I6" i="22"/>
  <c r="D26" i="11"/>
  <c r="F5" i="11"/>
  <c r="D28" i="11"/>
  <c r="E9" i="11"/>
  <c r="B5" i="19"/>
  <c r="B7" i="19" s="1"/>
  <c r="I5" i="19"/>
  <c r="I7" i="19" s="1"/>
  <c r="H5" i="19"/>
  <c r="H7" i="19" s="1"/>
  <c r="D5" i="19"/>
  <c r="D7" i="19" s="1"/>
  <c r="G5" i="19"/>
  <c r="G7" i="19" s="1"/>
  <c r="F5" i="19"/>
  <c r="F7" i="19" s="1"/>
  <c r="E5" i="19"/>
  <c r="E7" i="19" s="1"/>
  <c r="C5" i="19"/>
  <c r="C7" i="19" s="1"/>
  <c r="J5" i="19"/>
  <c r="J7" i="19" s="1"/>
  <c r="I7" i="22" l="1"/>
  <c r="J6" i="22"/>
  <c r="G22" i="4"/>
  <c r="G7" i="4"/>
  <c r="F23" i="19"/>
  <c r="F6" i="19"/>
  <c r="H22" i="4"/>
  <c r="G6" i="19"/>
  <c r="H7" i="4"/>
  <c r="G23" i="19"/>
  <c r="E22" i="4"/>
  <c r="D3" i="20" s="1"/>
  <c r="E7" i="4"/>
  <c r="D23" i="19"/>
  <c r="D6" i="19"/>
  <c r="I22" i="4"/>
  <c r="H23" i="19"/>
  <c r="H6" i="19"/>
  <c r="I7" i="4"/>
  <c r="J22" i="4"/>
  <c r="I6" i="19"/>
  <c r="J7" i="4"/>
  <c r="I23" i="19"/>
  <c r="K22" i="4"/>
  <c r="K7" i="4"/>
  <c r="J23" i="19"/>
  <c r="J6" i="19"/>
  <c r="C22" i="4"/>
  <c r="B3" i="20" s="1"/>
  <c r="C7" i="4"/>
  <c r="B23" i="19"/>
  <c r="B6" i="19"/>
  <c r="F22" i="4"/>
  <c r="F7" i="4"/>
  <c r="E23" i="19"/>
  <c r="E6" i="19"/>
  <c r="D22" i="4"/>
  <c r="C3" i="20" s="1"/>
  <c r="D7" i="4"/>
  <c r="C23" i="19"/>
  <c r="C6" i="19"/>
  <c r="J7" i="22" l="1"/>
  <c r="K6" i="22"/>
  <c r="E24" i="19"/>
  <c r="F18" i="4"/>
  <c r="J24" i="19"/>
  <c r="K18" i="4"/>
  <c r="I24" i="19"/>
  <c r="J18" i="4"/>
  <c r="H24" i="19"/>
  <c r="I18" i="4"/>
  <c r="G24" i="19"/>
  <c r="H18" i="4"/>
  <c r="C24" i="19"/>
  <c r="D18" i="4"/>
  <c r="B24" i="19"/>
  <c r="B25" i="19" s="1"/>
  <c r="C18" i="4"/>
  <c r="D24" i="19"/>
  <c r="E18" i="4"/>
  <c r="F24" i="19"/>
  <c r="G18" i="4"/>
  <c r="G13" i="7"/>
  <c r="F3" i="20"/>
  <c r="J13" i="7"/>
  <c r="I3" i="20"/>
  <c r="F13" i="7"/>
  <c r="E3" i="20"/>
  <c r="K13" i="7"/>
  <c r="J3" i="20"/>
  <c r="I13" i="7"/>
  <c r="H3" i="20"/>
  <c r="H13" i="7"/>
  <c r="G3" i="20"/>
  <c r="F9" i="4"/>
  <c r="K9" i="4"/>
  <c r="J9" i="4"/>
  <c r="D9" i="4"/>
  <c r="E9" i="4"/>
  <c r="G9" i="4"/>
  <c r="D13" i="7"/>
  <c r="C5" i="18" s="1"/>
  <c r="C13" i="7"/>
  <c r="B5" i="18"/>
  <c r="B20" i="18" s="1"/>
  <c r="E13" i="7"/>
  <c r="D5" i="18" s="1"/>
  <c r="I9" i="4"/>
  <c r="H9" i="4"/>
  <c r="C9" i="4"/>
  <c r="E7" i="11"/>
  <c r="K7" i="22" l="1"/>
  <c r="L6" i="22"/>
  <c r="L7" i="22" s="1"/>
  <c r="B21" i="18"/>
  <c r="C22" i="19"/>
  <c r="C25" i="19" s="1"/>
  <c r="C12" i="4"/>
  <c r="D11" i="4" l="1"/>
  <c r="C12" i="7"/>
  <c r="D22" i="19"/>
  <c r="D25" i="19" s="1"/>
  <c r="D12" i="4"/>
  <c r="E11" i="4" l="1"/>
  <c r="D12" i="7"/>
  <c r="E22" i="19"/>
  <c r="E25" i="19" s="1"/>
  <c r="E12" i="4"/>
  <c r="F11" i="4" l="1"/>
  <c r="E12" i="7"/>
  <c r="F22" i="19"/>
  <c r="F25" i="19" s="1"/>
  <c r="F12" i="4"/>
  <c r="D12" i="14"/>
  <c r="D13" i="14" s="1"/>
  <c r="D14" i="14" s="1"/>
  <c r="D15" i="14" s="1"/>
  <c r="C12" i="1"/>
  <c r="C6" i="10" s="1"/>
  <c r="C35" i="1"/>
  <c r="C31" i="4" s="1"/>
  <c r="J28" i="4"/>
  <c r="K28" i="4"/>
  <c r="J9" i="18" s="1"/>
  <c r="B15" i="18"/>
  <c r="C46" i="7"/>
  <c r="C6" i="18"/>
  <c r="G11" i="4" l="1"/>
  <c r="F12" i="7"/>
  <c r="G22" i="19"/>
  <c r="G25" i="19" s="1"/>
  <c r="G12" i="4"/>
  <c r="I9" i="18"/>
  <c r="J45" i="7"/>
  <c r="D16" i="14"/>
  <c r="D17" i="14" s="1"/>
  <c r="K45" i="7"/>
  <c r="C29" i="7"/>
  <c r="D17" i="4"/>
  <c r="E17" i="4" s="1"/>
  <c r="F17" i="4" s="1"/>
  <c r="G17" i="4" s="1"/>
  <c r="H17" i="4" s="1"/>
  <c r="I17" i="4" s="1"/>
  <c r="J17" i="4" s="1"/>
  <c r="K17" i="4" s="1"/>
  <c r="E6" i="9"/>
  <c r="E16" i="9"/>
  <c r="H11" i="4" l="1"/>
  <c r="G12" i="7"/>
  <c r="H22" i="19"/>
  <c r="H25" i="19" s="1"/>
  <c r="H12" i="4"/>
  <c r="D18" i="14"/>
  <c r="D19" i="14" s="1"/>
  <c r="D20" i="14" s="1"/>
  <c r="D21" i="14" s="1"/>
  <c r="D15" i="18"/>
  <c r="C15" i="18"/>
  <c r="D6" i="18"/>
  <c r="D44" i="4"/>
  <c r="I11" i="4" l="1"/>
  <c r="H12" i="7"/>
  <c r="I22" i="19"/>
  <c r="I25" i="19" s="1"/>
  <c r="I12" i="4"/>
  <c r="C8" i="4"/>
  <c r="C10" i="4" s="1"/>
  <c r="D8" i="4"/>
  <c r="D10" i="4" s="1"/>
  <c r="D13" i="4" s="1"/>
  <c r="D22" i="14"/>
  <c r="D23" i="14" s="1"/>
  <c r="D24" i="14" s="1"/>
  <c r="D25" i="14" s="1"/>
  <c r="D29" i="7"/>
  <c r="E6" i="18"/>
  <c r="E46" i="7"/>
  <c r="E13" i="10"/>
  <c r="I33" i="7"/>
  <c r="J33" i="7"/>
  <c r="K33" i="7"/>
  <c r="E8" i="11"/>
  <c r="D25" i="11"/>
  <c r="J47" i="7"/>
  <c r="K47" i="7"/>
  <c r="C13" i="10"/>
  <c r="C20" i="1"/>
  <c r="C16" i="1"/>
  <c r="F8" i="10"/>
  <c r="F7" i="10"/>
  <c r="E8" i="9"/>
  <c r="E7" i="9"/>
  <c r="G13" i="3"/>
  <c r="G15" i="3" s="1"/>
  <c r="G7" i="3"/>
  <c r="C9" i="1"/>
  <c r="D6" i="10" l="1"/>
  <c r="C8" i="2"/>
  <c r="E15" i="18"/>
  <c r="F46" i="7"/>
  <c r="J11" i="4"/>
  <c r="I12" i="7"/>
  <c r="C13" i="4"/>
  <c r="J22" i="19"/>
  <c r="J25" i="19" s="1"/>
  <c r="K12" i="4" s="1"/>
  <c r="K12" i="7" s="1"/>
  <c r="J12" i="4"/>
  <c r="C7" i="18"/>
  <c r="C7" i="15"/>
  <c r="D26" i="14"/>
  <c r="E9" i="9"/>
  <c r="E29" i="7"/>
  <c r="F6" i="18"/>
  <c r="D7" i="18"/>
  <c r="E44" i="4"/>
  <c r="C14" i="10"/>
  <c r="C3" i="15"/>
  <c r="D46" i="7"/>
  <c r="E14" i="10"/>
  <c r="K6" i="12"/>
  <c r="E5" i="12"/>
  <c r="H6" i="12"/>
  <c r="E6" i="12"/>
  <c r="D6" i="12"/>
  <c r="F6" i="12"/>
  <c r="F5" i="12"/>
  <c r="G5" i="12"/>
  <c r="I6" i="12"/>
  <c r="C6" i="2" l="1"/>
  <c r="D4" i="14" s="1"/>
  <c r="C9" i="7"/>
  <c r="D13" i="10"/>
  <c r="F6" i="10"/>
  <c r="F9" i="10" s="1"/>
  <c r="K11" i="4"/>
  <c r="J12" i="7"/>
  <c r="E8" i="4"/>
  <c r="E10" i="4" s="1"/>
  <c r="E13" i="4" s="1"/>
  <c r="D27" i="14"/>
  <c r="E11" i="9"/>
  <c r="E12" i="9" s="1"/>
  <c r="E14" i="9" s="1"/>
  <c r="F29" i="7"/>
  <c r="F3" i="15"/>
  <c r="E7" i="18"/>
  <c r="G6" i="18"/>
  <c r="F44" i="4"/>
  <c r="C15" i="10"/>
  <c r="E3" i="15"/>
  <c r="D3" i="15"/>
  <c r="C18" i="7"/>
  <c r="E15" i="10"/>
  <c r="H5" i="12"/>
  <c r="J5" i="12"/>
  <c r="C6" i="12"/>
  <c r="J6" i="12"/>
  <c r="D5" i="12"/>
  <c r="I5" i="12"/>
  <c r="C5" i="12"/>
  <c r="G6" i="12"/>
  <c r="K5" i="12"/>
  <c r="D14" i="10" l="1"/>
  <c r="D15" i="10" s="1"/>
  <c r="F13" i="10"/>
  <c r="C10" i="7"/>
  <c r="C11" i="7" s="1"/>
  <c r="C32" i="4"/>
  <c r="B10" i="13"/>
  <c r="C10" i="14"/>
  <c r="E10" i="14" s="1"/>
  <c r="C11" i="14"/>
  <c r="C9" i="14"/>
  <c r="E9" i="14" s="1"/>
  <c r="D16" i="4"/>
  <c r="C19" i="4"/>
  <c r="B8" i="18" s="1"/>
  <c r="F8" i="4"/>
  <c r="F10" i="4" s="1"/>
  <c r="F13" i="4" s="1"/>
  <c r="D28" i="14"/>
  <c r="G29" i="7"/>
  <c r="H6" i="18"/>
  <c r="F7" i="18"/>
  <c r="G44" i="4"/>
  <c r="C16" i="10"/>
  <c r="E16" i="10"/>
  <c r="E32" i="4" l="1"/>
  <c r="F15" i="10"/>
  <c r="E10" i="7"/>
  <c r="D10" i="13"/>
  <c r="C10" i="13"/>
  <c r="D32" i="4"/>
  <c r="D10" i="7"/>
  <c r="D16" i="10"/>
  <c r="D17" i="10" s="1"/>
  <c r="D18" i="10" s="1"/>
  <c r="F14" i="10"/>
  <c r="D9" i="7"/>
  <c r="C39" i="7"/>
  <c r="E11" i="14"/>
  <c r="C12" i="14"/>
  <c r="E16" i="4"/>
  <c r="D19" i="4"/>
  <c r="C21" i="4"/>
  <c r="G8" i="4"/>
  <c r="G10" i="4" s="1"/>
  <c r="G13" i="4" s="1"/>
  <c r="D29" i="14"/>
  <c r="F15" i="18"/>
  <c r="G46" i="7"/>
  <c r="E5" i="18"/>
  <c r="H29" i="7"/>
  <c r="G7" i="18"/>
  <c r="G3" i="15"/>
  <c r="I6" i="18"/>
  <c r="H44" i="4"/>
  <c r="C17" i="10"/>
  <c r="C18" i="10"/>
  <c r="E17" i="10"/>
  <c r="F10" i="7" l="1"/>
  <c r="E12" i="14"/>
  <c r="C26" i="4" s="1"/>
  <c r="F17" i="11" s="1"/>
  <c r="C13" i="14"/>
  <c r="F18" i="10"/>
  <c r="F17" i="10"/>
  <c r="F32" i="4"/>
  <c r="D11" i="7"/>
  <c r="D19" i="10"/>
  <c r="D20" i="10" s="1"/>
  <c r="D21" i="10" s="1"/>
  <c r="E10" i="13"/>
  <c r="F16" i="10"/>
  <c r="C23" i="4"/>
  <c r="B4" i="20"/>
  <c r="B5" i="20" s="1"/>
  <c r="B6" i="20" s="1"/>
  <c r="C8" i="18"/>
  <c r="D21" i="4"/>
  <c r="F16" i="4"/>
  <c r="E19" i="4"/>
  <c r="H8" i="4"/>
  <c r="H10" i="4" s="1"/>
  <c r="H13" i="4" s="1"/>
  <c r="D30" i="14"/>
  <c r="F5" i="18"/>
  <c r="I29" i="7"/>
  <c r="J6" i="18"/>
  <c r="H7" i="18"/>
  <c r="H3" i="15"/>
  <c r="I44" i="4"/>
  <c r="G10" i="7"/>
  <c r="F10" i="13"/>
  <c r="G32" i="4"/>
  <c r="C19" i="10"/>
  <c r="E18" i="10"/>
  <c r="H32" i="4" s="1"/>
  <c r="F19" i="10" l="1"/>
  <c r="C28" i="4"/>
  <c r="C30" i="4" s="1"/>
  <c r="C33" i="4" s="1"/>
  <c r="B7" i="20" s="1"/>
  <c r="D39" i="7"/>
  <c r="E9" i="7"/>
  <c r="E11" i="7" s="1"/>
  <c r="E13" i="14"/>
  <c r="C14" i="14"/>
  <c r="C22" i="7"/>
  <c r="B9" i="18"/>
  <c r="B10" i="18" s="1"/>
  <c r="C48" i="7"/>
  <c r="D23" i="4"/>
  <c r="D48" i="7" s="1"/>
  <c r="C4" i="20"/>
  <c r="C5" i="20" s="1"/>
  <c r="C6" i="20" s="1"/>
  <c r="G16" i="4"/>
  <c r="F19" i="4"/>
  <c r="D8" i="18"/>
  <c r="E21" i="4"/>
  <c r="I8" i="4"/>
  <c r="I10" i="4" s="1"/>
  <c r="I13" i="4" s="1"/>
  <c r="D31" i="14"/>
  <c r="G5" i="18"/>
  <c r="K29" i="7"/>
  <c r="J29" i="7"/>
  <c r="I7" i="18"/>
  <c r="I3" i="15"/>
  <c r="K44" i="4"/>
  <c r="D29" i="11" s="1"/>
  <c r="J44" i="4"/>
  <c r="H10" i="7"/>
  <c r="G10" i="13"/>
  <c r="C20" i="10"/>
  <c r="E19" i="10"/>
  <c r="E20" i="10" s="1"/>
  <c r="C45" i="7" l="1"/>
  <c r="C47" i="7" s="1"/>
  <c r="E14" i="14"/>
  <c r="C15" i="14"/>
  <c r="C21" i="10"/>
  <c r="F21" i="10" s="1"/>
  <c r="F20" i="10"/>
  <c r="E39" i="7"/>
  <c r="F9" i="7"/>
  <c r="F11" i="7" s="1"/>
  <c r="C40" i="7"/>
  <c r="C41" i="7" s="1"/>
  <c r="C33" i="7"/>
  <c r="B7" i="13"/>
  <c r="B9" i="13" s="1"/>
  <c r="B11" i="13" s="1"/>
  <c r="B13" i="13" s="1"/>
  <c r="B14" i="13" s="1"/>
  <c r="C34" i="4" s="1"/>
  <c r="B11" i="18" s="1"/>
  <c r="B12" i="18" s="1"/>
  <c r="C49" i="7"/>
  <c r="E23" i="4"/>
  <c r="E48" i="7" s="1"/>
  <c r="D4" i="20"/>
  <c r="D5" i="20" s="1"/>
  <c r="D6" i="20" s="1"/>
  <c r="F11" i="11"/>
  <c r="F12" i="11" s="1"/>
  <c r="H16" i="4"/>
  <c r="G19" i="4"/>
  <c r="E8" i="18"/>
  <c r="F21" i="4"/>
  <c r="J8" i="4"/>
  <c r="J10" i="4" s="1"/>
  <c r="J13" i="4" s="1"/>
  <c r="K8" i="4"/>
  <c r="K10" i="4" s="1"/>
  <c r="K13" i="4" s="1"/>
  <c r="D32" i="14"/>
  <c r="D33" i="14" s="1"/>
  <c r="H46" i="7"/>
  <c r="G15" i="18"/>
  <c r="H5" i="18"/>
  <c r="J7" i="18"/>
  <c r="I10" i="7"/>
  <c r="I32" i="4"/>
  <c r="H10" i="13"/>
  <c r="I10" i="13"/>
  <c r="J10" i="7"/>
  <c r="J32" i="4"/>
  <c r="K32" i="4"/>
  <c r="E21" i="10"/>
  <c r="J10" i="13" l="1"/>
  <c r="F18" i="11"/>
  <c r="F19" i="11" s="1"/>
  <c r="D30" i="11" s="1"/>
  <c r="D31" i="11" s="1"/>
  <c r="D32" i="11" s="1"/>
  <c r="F39" i="7"/>
  <c r="G9" i="7"/>
  <c r="G11" i="7" s="1"/>
  <c r="E15" i="14"/>
  <c r="C16" i="14"/>
  <c r="C35" i="4"/>
  <c r="C36" i="4" s="1"/>
  <c r="B13" i="18" s="1"/>
  <c r="B22" i="18" s="1"/>
  <c r="B23" i="18" s="1"/>
  <c r="B26" i="18" s="1"/>
  <c r="F23" i="4"/>
  <c r="F48" i="7" s="1"/>
  <c r="E4" i="20"/>
  <c r="E5" i="20" s="1"/>
  <c r="E6" i="20" s="1"/>
  <c r="F8" i="18"/>
  <c r="G21" i="4"/>
  <c r="F4" i="20" s="1"/>
  <c r="F5" i="20" s="1"/>
  <c r="F6" i="20" s="1"/>
  <c r="I16" i="4"/>
  <c r="H19" i="4"/>
  <c r="D34" i="14"/>
  <c r="I5" i="18"/>
  <c r="J5" i="18"/>
  <c r="K10" i="7"/>
  <c r="E16" i="14" l="1"/>
  <c r="D26" i="4" s="1"/>
  <c r="D28" i="4" s="1"/>
  <c r="C17" i="14"/>
  <c r="G39" i="7"/>
  <c r="H9" i="7"/>
  <c r="H11" i="7" s="1"/>
  <c r="B25" i="18"/>
  <c r="B14" i="18"/>
  <c r="B16" i="18" s="1"/>
  <c r="C14" i="7" s="1"/>
  <c r="C37" i="4"/>
  <c r="C19" i="7" s="1"/>
  <c r="C21" i="7" s="1"/>
  <c r="D18" i="7" s="1"/>
  <c r="B8" i="20"/>
  <c r="G8" i="18"/>
  <c r="H21" i="4"/>
  <c r="G4" i="20" s="1"/>
  <c r="G5" i="20" s="1"/>
  <c r="G6" i="20" s="1"/>
  <c r="J16" i="4"/>
  <c r="I19" i="4"/>
  <c r="D35" i="14"/>
  <c r="G23" i="4"/>
  <c r="G48" i="7" s="1"/>
  <c r="D30" i="4" l="1"/>
  <c r="C9" i="18"/>
  <c r="D45" i="7"/>
  <c r="D47" i="7" s="1"/>
  <c r="D49" i="7" s="1"/>
  <c r="F50" i="7" s="1"/>
  <c r="H39" i="7"/>
  <c r="I9" i="7"/>
  <c r="I11" i="7" s="1"/>
  <c r="E17" i="14"/>
  <c r="C18" i="14"/>
  <c r="D22" i="7"/>
  <c r="C4" i="18"/>
  <c r="C34" i="7"/>
  <c r="C35" i="7" s="1"/>
  <c r="C25" i="7"/>
  <c r="K16" i="4"/>
  <c r="K19" i="4" s="1"/>
  <c r="J19" i="4"/>
  <c r="H8" i="18"/>
  <c r="I21" i="4"/>
  <c r="H4" i="20" s="1"/>
  <c r="H5" i="20" s="1"/>
  <c r="H6" i="20" s="1"/>
  <c r="D36" i="14"/>
  <c r="H15" i="18" s="1"/>
  <c r="C15" i="7"/>
  <c r="C28" i="7"/>
  <c r="C30" i="7" s="1"/>
  <c r="C10" i="18" l="1"/>
  <c r="C12" i="18" s="1"/>
  <c r="I46" i="7"/>
  <c r="D40" i="7"/>
  <c r="D41" i="7" s="1"/>
  <c r="D33" i="7"/>
  <c r="E18" i="14"/>
  <c r="C19" i="14"/>
  <c r="J9" i="7"/>
  <c r="J11" i="7" s="1"/>
  <c r="I39" i="7"/>
  <c r="I41" i="7" s="1"/>
  <c r="D33" i="4"/>
  <c r="C7" i="13"/>
  <c r="C9" i="13" s="1"/>
  <c r="C11" i="13" s="1"/>
  <c r="C13" i="13" s="1"/>
  <c r="C14" i="13" s="1"/>
  <c r="D34" i="4" s="1"/>
  <c r="C11" i="18" s="1"/>
  <c r="C20" i="18"/>
  <c r="C21" i="18" s="1"/>
  <c r="I8" i="18"/>
  <c r="J21" i="4"/>
  <c r="I4" i="20" s="1"/>
  <c r="I5" i="20" s="1"/>
  <c r="I6" i="20" s="1"/>
  <c r="J8" i="18"/>
  <c r="K21" i="4"/>
  <c r="J4" i="20" s="1"/>
  <c r="J5" i="20" s="1"/>
  <c r="J6" i="20" s="1"/>
  <c r="H23" i="4"/>
  <c r="H48" i="7" s="1"/>
  <c r="E19" i="14" l="1"/>
  <c r="C20" i="14"/>
  <c r="K9" i="7"/>
  <c r="K11" i="7" s="1"/>
  <c r="K39" i="7" s="1"/>
  <c r="K41" i="7" s="1"/>
  <c r="J39" i="7"/>
  <c r="J41" i="7" s="1"/>
  <c r="C7" i="20"/>
  <c r="D35" i="4"/>
  <c r="C8" i="20" l="1"/>
  <c r="D36" i="4"/>
  <c r="C13" i="18" s="1"/>
  <c r="E20" i="14"/>
  <c r="E26" i="4" s="1"/>
  <c r="E28" i="4" s="1"/>
  <c r="C21" i="14"/>
  <c r="I23" i="4"/>
  <c r="I48" i="7" s="1"/>
  <c r="D37" i="4" l="1"/>
  <c r="D19" i="7" s="1"/>
  <c r="D21" i="7" s="1"/>
  <c r="E18" i="7" s="1"/>
  <c r="E30" i="4"/>
  <c r="E45" i="7"/>
  <c r="E47" i="7" s="1"/>
  <c r="E49" i="7" s="1"/>
  <c r="D9" i="18"/>
  <c r="C22" i="18"/>
  <c r="C14" i="18"/>
  <c r="C16" i="18" s="1"/>
  <c r="E21" i="14"/>
  <c r="E22" i="7"/>
  <c r="C22" i="14"/>
  <c r="D34" i="7"/>
  <c r="D35" i="7" s="1"/>
  <c r="D25" i="7"/>
  <c r="C23" i="18" l="1"/>
  <c r="C26" i="18" s="1"/>
  <c r="C25" i="18"/>
  <c r="E40" i="7"/>
  <c r="E41" i="7" s="1"/>
  <c r="E33" i="7"/>
  <c r="E22" i="14"/>
  <c r="C23" i="14"/>
  <c r="D14" i="7"/>
  <c r="D4" i="18"/>
  <c r="E33" i="4"/>
  <c r="D7" i="13"/>
  <c r="D9" i="13" s="1"/>
  <c r="D11" i="13" s="1"/>
  <c r="D13" i="13" s="1"/>
  <c r="D14" i="13" s="1"/>
  <c r="E34" i="4" s="1"/>
  <c r="D11" i="18" s="1"/>
  <c r="D28" i="7" l="1"/>
  <c r="D30" i="7" s="1"/>
  <c r="D15" i="7"/>
  <c r="E23" i="14"/>
  <c r="C24" i="14"/>
  <c r="D20" i="18"/>
  <c r="D21" i="18" s="1"/>
  <c r="D10" i="18"/>
  <c r="D12" i="18" s="1"/>
  <c r="D7" i="20"/>
  <c r="E35" i="4"/>
  <c r="J23" i="4"/>
  <c r="J3" i="15"/>
  <c r="K3" i="15"/>
  <c r="E36" i="4" l="1"/>
  <c r="D13" i="18" s="1"/>
  <c r="D22" i="18" s="1"/>
  <c r="D23" i="18" s="1"/>
  <c r="D26" i="18" s="1"/>
  <c r="D8" i="20"/>
  <c r="E24" i="14"/>
  <c r="C25" i="14"/>
  <c r="F26" i="4"/>
  <c r="F28" i="4" s="1"/>
  <c r="J30" i="4"/>
  <c r="J33" i="4" s="1"/>
  <c r="I7" i="20" s="1"/>
  <c r="J48" i="7"/>
  <c r="J49" i="7" s="1"/>
  <c r="K23" i="4"/>
  <c r="E37" i="4" l="1"/>
  <c r="E19" i="7" s="1"/>
  <c r="E21" i="7" s="1"/>
  <c r="E34" i="7" s="1"/>
  <c r="E35" i="7" s="1"/>
  <c r="D25" i="18"/>
  <c r="F30" i="4"/>
  <c r="E9" i="18"/>
  <c r="F45" i="7"/>
  <c r="F47" i="7" s="1"/>
  <c r="F49" i="7" s="1"/>
  <c r="E25" i="14"/>
  <c r="F22" i="7"/>
  <c r="C26" i="14"/>
  <c r="D14" i="18"/>
  <c r="D16" i="18" s="1"/>
  <c r="I7" i="13"/>
  <c r="I9" i="13" s="1"/>
  <c r="I11" i="13" s="1"/>
  <c r="I13" i="13" s="1"/>
  <c r="I14" i="13" s="1"/>
  <c r="J34" i="4" s="1"/>
  <c r="I11" i="18" s="1"/>
  <c r="K30" i="4"/>
  <c r="K33" i="4" s="1"/>
  <c r="J7" i="20" s="1"/>
  <c r="K48" i="7"/>
  <c r="K49" i="7" s="1"/>
  <c r="E25" i="7" l="1"/>
  <c r="F18" i="7"/>
  <c r="E26" i="14"/>
  <c r="C27" i="14"/>
  <c r="F40" i="7"/>
  <c r="F41" i="7" s="1"/>
  <c r="F33" i="7"/>
  <c r="E4" i="18"/>
  <c r="E14" i="7"/>
  <c r="F33" i="4"/>
  <c r="E7" i="13"/>
  <c r="E9" i="13" s="1"/>
  <c r="E11" i="13" s="1"/>
  <c r="E13" i="13" s="1"/>
  <c r="E14" i="13" s="1"/>
  <c r="F34" i="4" s="1"/>
  <c r="E11" i="18" s="1"/>
  <c r="J35" i="4"/>
  <c r="J7" i="13"/>
  <c r="J9" i="13" s="1"/>
  <c r="J11" i="13" s="1"/>
  <c r="J13" i="13" s="1"/>
  <c r="J14" i="13" s="1"/>
  <c r="K34" i="4" s="1"/>
  <c r="E15" i="7" l="1"/>
  <c r="E28" i="7"/>
  <c r="E30" i="7" s="1"/>
  <c r="E7" i="20"/>
  <c r="F35" i="4"/>
  <c r="E20" i="18"/>
  <c r="E21" i="18" s="1"/>
  <c r="E10" i="18"/>
  <c r="E12" i="18" s="1"/>
  <c r="E27" i="14"/>
  <c r="C28" i="14"/>
  <c r="J36" i="4"/>
  <c r="J37" i="4" s="1"/>
  <c r="J19" i="7" s="1"/>
  <c r="I8" i="20"/>
  <c r="K35" i="4"/>
  <c r="J11" i="18"/>
  <c r="E8" i="20" l="1"/>
  <c r="F36" i="4"/>
  <c r="E28" i="14"/>
  <c r="C29" i="14"/>
  <c r="G22" i="7"/>
  <c r="G26" i="4"/>
  <c r="G28" i="4" s="1"/>
  <c r="K36" i="4"/>
  <c r="K37" i="4" s="1"/>
  <c r="K19" i="7" s="1"/>
  <c r="J8" i="20"/>
  <c r="I13" i="18"/>
  <c r="I22" i="18" s="1"/>
  <c r="I23" i="18" s="1"/>
  <c r="J13" i="18" l="1"/>
  <c r="J22" i="18" s="1"/>
  <c r="J23" i="18" s="1"/>
  <c r="G45" i="7"/>
  <c r="G47" i="7" s="1"/>
  <c r="G49" i="7" s="1"/>
  <c r="G30" i="4"/>
  <c r="F9" i="18"/>
  <c r="G40" i="7"/>
  <c r="G41" i="7" s="1"/>
  <c r="G33" i="7"/>
  <c r="E29" i="14"/>
  <c r="C30" i="14"/>
  <c r="E13" i="18"/>
  <c r="F37" i="4"/>
  <c r="F19" i="7" s="1"/>
  <c r="F21" i="7" s="1"/>
  <c r="E22" i="18" l="1"/>
  <c r="E14" i="18"/>
  <c r="E16" i="18" s="1"/>
  <c r="G33" i="4"/>
  <c r="F7" i="13"/>
  <c r="F9" i="13" s="1"/>
  <c r="F11" i="13" s="1"/>
  <c r="F13" i="13" s="1"/>
  <c r="F14" i="13" s="1"/>
  <c r="G34" i="4" s="1"/>
  <c r="F11" i="18" s="1"/>
  <c r="E30" i="14"/>
  <c r="C31" i="14"/>
  <c r="F25" i="7"/>
  <c r="F34" i="7"/>
  <c r="F35" i="7" s="1"/>
  <c r="G18" i="7"/>
  <c r="F7" i="20" l="1"/>
  <c r="G35" i="4"/>
  <c r="E31" i="14"/>
  <c r="C32" i="14"/>
  <c r="F14" i="7"/>
  <c r="F4" i="18"/>
  <c r="E23" i="18"/>
  <c r="E26" i="18" s="1"/>
  <c r="E25" i="18"/>
  <c r="F28" i="7" l="1"/>
  <c r="F30" i="7" s="1"/>
  <c r="F15" i="7"/>
  <c r="E32" i="14"/>
  <c r="H26" i="4" s="1"/>
  <c r="H28" i="4" s="1"/>
  <c r="C33" i="14"/>
  <c r="H22" i="7"/>
  <c r="F8" i="20"/>
  <c r="G36" i="4"/>
  <c r="F20" i="18"/>
  <c r="F21" i="18" s="1"/>
  <c r="F10" i="18"/>
  <c r="F12" i="18" s="1"/>
  <c r="H30" i="4" l="1"/>
  <c r="H45" i="7"/>
  <c r="H47" i="7" s="1"/>
  <c r="H49" i="7" s="1"/>
  <c r="G9" i="18"/>
  <c r="F13" i="18"/>
  <c r="F22" i="18" s="1"/>
  <c r="G37" i="4"/>
  <c r="G19" i="7" s="1"/>
  <c r="G21" i="7" s="1"/>
  <c r="F14" i="18"/>
  <c r="F16" i="18" s="1"/>
  <c r="H40" i="7"/>
  <c r="H41" i="7" s="1"/>
  <c r="F42" i="7" s="1"/>
  <c r="H33" i="7"/>
  <c r="E33" i="14"/>
  <c r="C34" i="14"/>
  <c r="F23" i="18" l="1"/>
  <c r="F26" i="18" s="1"/>
  <c r="F25" i="18"/>
  <c r="G25" i="7"/>
  <c r="G34" i="7"/>
  <c r="G35" i="7" s="1"/>
  <c r="H18" i="7"/>
  <c r="G14" i="7"/>
  <c r="G4" i="18"/>
  <c r="E34" i="14"/>
  <c r="C35" i="14"/>
  <c r="H33" i="4"/>
  <c r="G7" i="13"/>
  <c r="G9" i="13" s="1"/>
  <c r="G11" i="13" s="1"/>
  <c r="G13" i="13" s="1"/>
  <c r="G14" i="13" s="1"/>
  <c r="H34" i="4" s="1"/>
  <c r="G11" i="18" s="1"/>
  <c r="I26" i="4" l="1"/>
  <c r="I28" i="4" s="1"/>
  <c r="I30" i="4" s="1"/>
  <c r="I33" i="4" s="1"/>
  <c r="H7" i="20" s="1"/>
  <c r="G20" i="18"/>
  <c r="G21" i="18" s="1"/>
  <c r="G10" i="18"/>
  <c r="G12" i="18" s="1"/>
  <c r="G28" i="7"/>
  <c r="G30" i="7" s="1"/>
  <c r="G15" i="7"/>
  <c r="G7" i="20"/>
  <c r="H35" i="4"/>
  <c r="E35" i="14"/>
  <c r="C36" i="14"/>
  <c r="E36" i="14" s="1"/>
  <c r="I45" i="7" l="1"/>
  <c r="I47" i="7" s="1"/>
  <c r="I49" i="7" s="1"/>
  <c r="G8" i="20"/>
  <c r="H36" i="4"/>
  <c r="G13" i="18" s="1"/>
  <c r="G22" i="18" s="1"/>
  <c r="G25" i="18" s="1"/>
  <c r="H9" i="18"/>
  <c r="H37" i="4"/>
  <c r="H19" i="7" s="1"/>
  <c r="H21" i="7" s="1"/>
  <c r="H34" i="7" s="1"/>
  <c r="H35" i="7" s="1"/>
  <c r="G23" i="18"/>
  <c r="G26" i="18" s="1"/>
  <c r="H7" i="13"/>
  <c r="H9" i="13" s="1"/>
  <c r="H11" i="13" s="1"/>
  <c r="H13" i="13" s="1"/>
  <c r="H14" i="13" s="1"/>
  <c r="I34" i="4" s="1"/>
  <c r="H11" i="18" s="1"/>
  <c r="I18" i="7" l="1"/>
  <c r="H25" i="7"/>
  <c r="G14" i="18"/>
  <c r="G16" i="18" s="1"/>
  <c r="I35" i="4"/>
  <c r="H8" i="20" s="1"/>
  <c r="H14" i="7" l="1"/>
  <c r="H4" i="18"/>
  <c r="I36" i="4"/>
  <c r="H13" i="18" s="1"/>
  <c r="H15" i="7" l="1"/>
  <c r="H28" i="7"/>
  <c r="H30" i="7" s="1"/>
  <c r="H20" i="18"/>
  <c r="H21" i="18" s="1"/>
  <c r="H10" i="18"/>
  <c r="H12" i="18" s="1"/>
  <c r="H14" i="18" s="1"/>
  <c r="H16" i="18" s="1"/>
  <c r="I4" i="18" s="1"/>
  <c r="H22" i="18"/>
  <c r="I37" i="4"/>
  <c r="I19" i="7" s="1"/>
  <c r="I21" i="7" s="1"/>
  <c r="I25" i="7" s="1"/>
  <c r="I14" i="7" l="1"/>
  <c r="I28" i="7" s="1"/>
  <c r="I30" i="7" s="1"/>
  <c r="H23" i="18"/>
  <c r="H26" i="18" s="1"/>
  <c r="H25" i="18"/>
  <c r="I10" i="18"/>
  <c r="I12" i="18" s="1"/>
  <c r="I14" i="18" s="1"/>
  <c r="I16" i="18" s="1"/>
  <c r="J4" i="18" s="1"/>
  <c r="I20" i="18"/>
  <c r="I34" i="7"/>
  <c r="I35" i="7" s="1"/>
  <c r="J18" i="7"/>
  <c r="J21" i="7" s="1"/>
  <c r="K18" i="7" s="1"/>
  <c r="K21" i="7" s="1"/>
  <c r="I15" i="7" l="1"/>
  <c r="J14" i="7"/>
  <c r="J15" i="7" s="1"/>
  <c r="J10" i="18"/>
  <c r="J12" i="18" s="1"/>
  <c r="J14" i="18" s="1"/>
  <c r="J16" i="18" s="1"/>
  <c r="K14" i="7" s="1"/>
  <c r="K15" i="7" s="1"/>
  <c r="J20" i="18"/>
  <c r="I25" i="18"/>
  <c r="I21" i="18"/>
  <c r="I26" i="18" s="1"/>
  <c r="J25" i="7"/>
  <c r="J34" i="7"/>
  <c r="J35" i="7" s="1"/>
  <c r="K34" i="7"/>
  <c r="K35" i="7" s="1"/>
  <c r="K25" i="7"/>
  <c r="J28" i="7" l="1"/>
  <c r="J30" i="7" s="1"/>
  <c r="K28" i="7"/>
  <c r="K30" i="7" s="1"/>
  <c r="J25" i="18"/>
  <c r="J21" i="18"/>
  <c r="J26" i="18" s="1"/>
  <c r="K26" i="18" s="1"/>
  <c r="F36" i="7"/>
  <c r="F31" i="7" l="1"/>
</calcChain>
</file>

<file path=xl/sharedStrings.xml><?xml version="1.0" encoding="utf-8"?>
<sst xmlns="http://schemas.openxmlformats.org/spreadsheetml/2006/main" count="413" uniqueCount="296">
  <si>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</si>
  <si>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</si>
  <si>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</si>
  <si>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</si>
  <si>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</si>
  <si>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</si>
  <si>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</si>
  <si>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</si>
  <si>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</si>
  <si>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</si>
  <si>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</si>
  <si>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</si>
  <si>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</si>
  <si>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</si>
  <si>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</si>
  <si>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</si>
  <si>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</si>
  <si>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</si>
  <si>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</si>
  <si>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</si>
  <si>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</si>
  <si>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</si>
  <si>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</si>
  <si>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</si>
  <si>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</si>
  <si>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</si>
  <si>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</si>
  <si>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</si>
  <si>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</si>
  <si>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</si>
  <si>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</si>
  <si>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Complete Estimate of Civil and plant and machinery</t>
  </si>
  <si>
    <t>1. Civil work and other</t>
  </si>
  <si>
    <t>Area/ capacity</t>
  </si>
  <si>
    <t>Units</t>
  </si>
  <si>
    <t>Amt</t>
  </si>
  <si>
    <t>Total (Civil work)</t>
  </si>
  <si>
    <t>2. Plant and machinery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</si>
  <si>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</si>
  <si>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</si>
  <si>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</si>
  <si>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</si>
  <si>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</si>
  <si>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</si>
  <si>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</si>
  <si>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</si>
  <si>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</si>
  <si>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</si>
  <si>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</si>
  <si>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</si>
  <si>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</si>
  <si>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</si>
  <si>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</si>
  <si>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</si>
  <si>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Sales</t>
  </si>
  <si>
    <t>Administrative salaries and wages</t>
  </si>
  <si>
    <t>S. No.</t>
  </si>
  <si>
    <t>Designation</t>
  </si>
  <si>
    <t>In no.</t>
  </si>
  <si>
    <t>Salary per person per month</t>
  </si>
  <si>
    <t>Monthly cost</t>
  </si>
  <si>
    <t>i.</t>
  </si>
  <si>
    <t>ii.</t>
  </si>
  <si>
    <t>Total annual wages</t>
  </si>
  <si>
    <t>Annual increase in wages</t>
  </si>
  <si>
    <t>Accountant</t>
  </si>
  <si>
    <t>iii.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</si>
  <si>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</si>
  <si>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</si>
  <si>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</si>
  <si>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</si>
  <si>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</si>
  <si>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</si>
  <si>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</si>
  <si>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</si>
  <si>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</si>
  <si>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</si>
  <si>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Break even capacity at maximum capacity utilixzation</t>
  </si>
  <si>
    <t>Variable cost</t>
  </si>
  <si>
    <t>- Running and maintenance cost</t>
  </si>
  <si>
    <t>- Selling cost</t>
  </si>
  <si>
    <t>- Interest on Working capital</t>
  </si>
  <si>
    <t>Contribution</t>
  </si>
  <si>
    <t>Less: fixed cost</t>
  </si>
  <si>
    <t>Wages and salaries</t>
  </si>
  <si>
    <t>- electricity expense</t>
  </si>
  <si>
    <t>Depreciation</t>
  </si>
  <si>
    <t>Office Electricity expense</t>
  </si>
  <si>
    <t>FC</t>
  </si>
  <si>
    <t>Fixed cost</t>
  </si>
  <si>
    <t>Contribution per unit</t>
  </si>
  <si>
    <t>Electricity charges</t>
  </si>
  <si>
    <t>Interest on Working capital</t>
  </si>
  <si>
    <t>Running and maintenance cost</t>
  </si>
  <si>
    <t>Sales price per kg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</si>
  <si>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</si>
  <si>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</si>
  <si>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</si>
  <si>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</si>
  <si>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</si>
  <si>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</si>
  <si>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</si>
  <si>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</si>
  <si>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</si>
  <si>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</si>
  <si>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Annexure 13 - Repayment schedule</t>
  </si>
  <si>
    <t>Repayment schedule</t>
  </si>
  <si>
    <t>Amount of Loan (in lakhs)</t>
  </si>
  <si>
    <t>Rate of interest</t>
  </si>
  <si>
    <t>Moratorium period</t>
  </si>
  <si>
    <t>Quarter</t>
  </si>
  <si>
    <t>Balance outstanding</t>
  </si>
  <si>
    <t>Interest</t>
  </si>
  <si>
    <t>Principal instalment</t>
  </si>
  <si>
    <t>total</t>
  </si>
  <si>
    <t>Operating profits (PBT)</t>
  </si>
  <si>
    <t>depreciation</t>
  </si>
  <si>
    <t>Net Profit before Tax</t>
  </si>
  <si>
    <t>Income Tax</t>
  </si>
  <si>
    <t>Profits after Tax</t>
  </si>
  <si>
    <t>Distribution of profits (80%)</t>
  </si>
  <si>
    <t>Annexure 10 - Calculation of Income tax</t>
  </si>
  <si>
    <t>Calculation of Income Tax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</si>
  <si>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</si>
  <si>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</si>
  <si>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</si>
  <si>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</si>
  <si>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</si>
  <si>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</si>
  <si>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</si>
  <si>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</si>
  <si>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</si>
  <si>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</si>
  <si>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</si>
  <si>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</si>
  <si>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</si>
  <si>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</si>
  <si>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</si>
  <si>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</si>
  <si>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</si>
  <si>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</si>
  <si>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</si>
  <si>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</si>
  <si>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</si>
  <si>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</si>
  <si>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</si>
  <si>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Total liabilities</t>
  </si>
  <si>
    <t>Total assets</t>
  </si>
  <si>
    <t>Current Ratio</t>
  </si>
  <si>
    <t>Current Assets</t>
  </si>
  <si>
    <t>Current Liabilities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</si>
  <si>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</si>
  <si>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</si>
  <si>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</si>
  <si>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</si>
  <si>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</si>
  <si>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</si>
  <si>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</si>
  <si>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</si>
  <si>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</si>
  <si>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</si>
  <si>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</si>
  <si>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</si>
  <si>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</si>
  <si>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</si>
  <si>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</si>
  <si>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</si>
  <si>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</si>
  <si>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Average</t>
  </si>
  <si>
    <t>Fixed asset coverage ratio</t>
  </si>
  <si>
    <t>Fixed assets</t>
  </si>
  <si>
    <t>6 months</t>
  </si>
  <si>
    <t>Stationery expense</t>
  </si>
  <si>
    <t>Annexure 8 - Details of Mnpower</t>
  </si>
  <si>
    <t>Details of Manpower</t>
  </si>
  <si>
    <t>Security</t>
  </si>
  <si>
    <t>Creditors</t>
  </si>
  <si>
    <t>Total manpower</t>
  </si>
  <si>
    <t>opening balance</t>
  </si>
  <si>
    <t>Add: Sales realizations</t>
  </si>
  <si>
    <t>Less: Interest payments</t>
  </si>
  <si>
    <t>Add: benefits @ 20%</t>
  </si>
  <si>
    <t>Working capital</t>
  </si>
  <si>
    <t>Interest on WC Loan</t>
  </si>
  <si>
    <t>E mandi expense</t>
  </si>
  <si>
    <t>Site Development</t>
  </si>
  <si>
    <t>Shed for Ripening centre</t>
  </si>
  <si>
    <t>50 MT storage</t>
  </si>
  <si>
    <t>Ripening chanmbers</t>
  </si>
  <si>
    <t>5 Ton capacity each</t>
  </si>
  <si>
    <t>Crates and othe material</t>
  </si>
  <si>
    <t>20 kg capacity</t>
  </si>
  <si>
    <t>E-Mandi infra</t>
  </si>
  <si>
    <t>Preliminary expenses for 0.75 lakhs are also to be incurred</t>
  </si>
  <si>
    <t>Sales Budget</t>
  </si>
  <si>
    <t>Production capacity utilization</t>
  </si>
  <si>
    <t>Sales qty</t>
  </si>
  <si>
    <t>Production budget</t>
  </si>
  <si>
    <t>Production capacity</t>
  </si>
  <si>
    <t>kg per hr</t>
  </si>
  <si>
    <t>Production hours in a year</t>
  </si>
  <si>
    <t>hours</t>
  </si>
  <si>
    <t>Production qty in a year</t>
  </si>
  <si>
    <t>kgs</t>
  </si>
  <si>
    <t>Products</t>
  </si>
  <si>
    <t>Production at 100% capacity</t>
  </si>
  <si>
    <t>sales prices per kg in year I</t>
  </si>
  <si>
    <t>purchase prices per kg in year I</t>
  </si>
  <si>
    <t>Opening Stock</t>
  </si>
  <si>
    <t>Add: Production</t>
  </si>
  <si>
    <t>Less: Sales</t>
  </si>
  <si>
    <t>Closing Stock</t>
  </si>
  <si>
    <t>Assumptions:</t>
  </si>
  <si>
    <t>Output</t>
  </si>
  <si>
    <t>1. Sales price per kg of output is 12.5, expected to increase 5% per annum</t>
  </si>
  <si>
    <t>Production qty</t>
  </si>
  <si>
    <t>2. assumed that 95% of production is sold</t>
  </si>
  <si>
    <t>Purchase of raw material input</t>
  </si>
  <si>
    <t>1. assumed that 10% of the output is normal loss in production processs</t>
  </si>
  <si>
    <t>Electricity expense</t>
  </si>
  <si>
    <t>Usage in units</t>
  </si>
  <si>
    <t>2. interest on working capital is assumed to be 10% p.a.</t>
  </si>
  <si>
    <t>4. Electricity usage in units is given below</t>
  </si>
  <si>
    <t>5. Stationery expense is fixed at Rs. 2,00,000 with annual increase of 2%</t>
  </si>
  <si>
    <t>Running and Manintenance expense @5% of procurement cost</t>
  </si>
  <si>
    <t>Cost of Production</t>
  </si>
  <si>
    <t>Add: Opening stock</t>
  </si>
  <si>
    <t>Less: Closing stock</t>
  </si>
  <si>
    <t>6. Closing stock is valued at Rs. 10 per kg</t>
  </si>
  <si>
    <t>- Procurement cost of inputs</t>
  </si>
  <si>
    <t>Sub Total</t>
  </si>
  <si>
    <t>Selling expenses @ Rs. 2.5 per kg</t>
  </si>
  <si>
    <t>Output stock calculation</t>
  </si>
  <si>
    <t>Total depreciation for the year</t>
  </si>
  <si>
    <t>Machine operators</t>
  </si>
  <si>
    <t>Preliminary Expense</t>
  </si>
  <si>
    <t>Cash flow statement</t>
  </si>
  <si>
    <t>Less: Payment made to creditors of previos year</t>
  </si>
  <si>
    <t>Add: Receipts from debtors of previos year</t>
  </si>
  <si>
    <t>Less: Payments made for current year purchase</t>
  </si>
  <si>
    <t>Less: Distrubutions made from profits</t>
  </si>
  <si>
    <t>Less: Income tax</t>
  </si>
  <si>
    <t>Less: Principal repayment of loan</t>
  </si>
  <si>
    <t>Closing cash balance</t>
  </si>
  <si>
    <t>Rs. per kg</t>
  </si>
  <si>
    <t>Procurement cost</t>
  </si>
  <si>
    <t>BEP in kg</t>
  </si>
  <si>
    <t>BEP %</t>
  </si>
  <si>
    <t>Selling cost</t>
  </si>
  <si>
    <t>3. Electricity are semi-fixed cost. Rs. 1,00,000 pa is fixed, balance is variable at Rs. 12 per unit usage</t>
  </si>
  <si>
    <t>Stationery</t>
  </si>
  <si>
    <t>TL interest cost</t>
  </si>
  <si>
    <t>Turnover</t>
  </si>
  <si>
    <t>Cost Of operations</t>
  </si>
  <si>
    <t>Gross profit</t>
  </si>
  <si>
    <t>EBITDA</t>
  </si>
  <si>
    <t>Profit before tax</t>
  </si>
  <si>
    <t>Profit after tax</t>
  </si>
  <si>
    <t>PV dicounting rate</t>
  </si>
  <si>
    <t>PVF</t>
  </si>
  <si>
    <t>Inflows</t>
  </si>
  <si>
    <t>PV of Inflows</t>
  </si>
  <si>
    <t>Outflows</t>
  </si>
  <si>
    <t>PV of Outflows</t>
  </si>
  <si>
    <t>Net cash inflow</t>
  </si>
  <si>
    <t>Net Present value</t>
  </si>
  <si>
    <t>1. asssumed that 30 days of purchases are average creditors maintained</t>
  </si>
  <si>
    <t>Contents Table</t>
  </si>
  <si>
    <t>Contents</t>
  </si>
  <si>
    <t>Link</t>
  </si>
  <si>
    <t>Ann 1'!A1</t>
  </si>
  <si>
    <t>Ann 2'!A1</t>
  </si>
  <si>
    <t>Ann 3'!A1</t>
  </si>
  <si>
    <t>Ann 4'!A1</t>
  </si>
  <si>
    <t>Ann 5'!A1</t>
  </si>
  <si>
    <t>Ann 6'!A1</t>
  </si>
  <si>
    <t>Ann 7'!A1</t>
  </si>
  <si>
    <t>Ann 8'!A1</t>
  </si>
  <si>
    <t>Ann 9'!A1</t>
  </si>
  <si>
    <t>Ann 10'!A1</t>
  </si>
  <si>
    <t>Ann 11'!A1</t>
  </si>
  <si>
    <t>Ann 13'!A1</t>
  </si>
  <si>
    <t>Assumptions!A1</t>
  </si>
  <si>
    <t>Cash flows'!A1</t>
  </si>
  <si>
    <t>Budgets!A1</t>
  </si>
  <si>
    <t>S. no.</t>
  </si>
  <si>
    <t>Assumptions</t>
  </si>
  <si>
    <t>Assumed that 10% of the output is normal loss in production processs</t>
  </si>
  <si>
    <t>Interest on working capital is assumed to be 10% p.a.</t>
  </si>
  <si>
    <t>Electricity are semi-fixed cost. Rs. 1,00,000 pa is fixed, balance is variable at Rs. 12 per unit usage</t>
  </si>
  <si>
    <t>Electricity usage in units is given below</t>
  </si>
  <si>
    <t>Stationery expense is fixed at Rs. 2,00,000 with annual increase of 2%</t>
  </si>
  <si>
    <t>Closing stock is valued at Rs. 10 per kg</t>
  </si>
  <si>
    <t>Asssumed that 30 days of purchases are average creditors maintained</t>
  </si>
  <si>
    <t>Assumed that 30 days of sales are average debtors maintained by the business</t>
  </si>
  <si>
    <t>DPR Without subsidy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</si>
</sst>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_(* #,##0.000_);_(* \(#,##0.000\);_(* &quot;-&quot;??_);_(@_)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3" fillId="0" borderId="0" xfId="0" applyFont="1"/>
    <xf numFmtId="0" fontId="0" fillId="0" borderId="3" xfId="0" applyBorder="1"/>
    <xf numFmtId="0" fontId="0" fillId="0" borderId="0" xfId="0" applyBorder="1"/>
    <xf numFmtId="0" fontId="0" fillId="0" borderId="9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Border="1"/>
    <xf numFmtId="164" fontId="0" fillId="0" borderId="9" xfId="1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0" xfId="0" applyFont="1"/>
    <xf numFmtId="0" fontId="0" fillId="0" borderId="0" xfId="0" quotePrefix="1"/>
    <xf numFmtId="43" fontId="0" fillId="0" borderId="0" xfId="0" applyNumberFormat="1"/>
    <xf numFmtId="9" fontId="0" fillId="0" borderId="0" xfId="0" applyNumberFormat="1"/>
    <xf numFmtId="43" fontId="0" fillId="0" borderId="9" xfId="1" applyNumberFormat="1" applyFont="1" applyBorder="1"/>
    <xf numFmtId="43" fontId="0" fillId="0" borderId="9" xfId="0" applyNumberFormat="1" applyBorder="1"/>
    <xf numFmtId="43" fontId="0" fillId="0" borderId="10" xfId="0" applyNumberFormat="1" applyBorder="1"/>
    <xf numFmtId="164" fontId="0" fillId="0" borderId="1" xfId="1" applyNumberFormat="1" applyFont="1" applyBorder="1"/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43" fontId="0" fillId="0" borderId="4" xfId="0" applyNumberForma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0" borderId="0" xfId="0" applyBorder="1" applyAlignment="1">
      <alignment horizontal="left"/>
    </xf>
    <xf numFmtId="164" fontId="0" fillId="0" borderId="1" xfId="0" applyNumberFormat="1" applyBorder="1"/>
    <xf numFmtId="0" fontId="0" fillId="0" borderId="1" xfId="0" applyFill="1" applyBorder="1"/>
    <xf numFmtId="10" fontId="0" fillId="0" borderId="0" xfId="2" applyNumberFormat="1" applyFont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164" fontId="0" fillId="0" borderId="9" xfId="0" applyNumberFormat="1" applyBorder="1"/>
    <xf numFmtId="0" fontId="2" fillId="0" borderId="0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164" fontId="0" fillId="0" borderId="10" xfId="0" applyNumberFormat="1" applyBorder="1"/>
    <xf numFmtId="164" fontId="0" fillId="0" borderId="4" xfId="0" applyNumberFormat="1" applyBorder="1"/>
    <xf numFmtId="43" fontId="0" fillId="0" borderId="1" xfId="1" applyFont="1" applyBorder="1"/>
    <xf numFmtId="0" fontId="0" fillId="0" borderId="15" xfId="0" applyBorder="1"/>
    <xf numFmtId="164" fontId="0" fillId="0" borderId="11" xfId="0" applyNumberFormat="1" applyBorder="1"/>
    <xf numFmtId="164" fontId="0" fillId="0" borderId="11" xfId="1" applyNumberFormat="1" applyFont="1" applyBorder="1"/>
    <xf numFmtId="43" fontId="0" fillId="0" borderId="11" xfId="0" applyNumberFormat="1" applyBorder="1"/>
    <xf numFmtId="0" fontId="0" fillId="0" borderId="0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11" xfId="0" applyFill="1" applyBorder="1"/>
    <xf numFmtId="0" fontId="0" fillId="2" borderId="9" xfId="0" applyFill="1" applyBorder="1"/>
    <xf numFmtId="164" fontId="0" fillId="2" borderId="9" xfId="0" applyNumberFormat="1" applyFill="1" applyBorder="1"/>
    <xf numFmtId="2" fontId="0" fillId="0" borderId="1" xfId="0" applyNumberFormat="1" applyBorder="1"/>
    <xf numFmtId="43" fontId="0" fillId="0" borderId="9" xfId="1" applyFont="1" applyBorder="1"/>
    <xf numFmtId="164" fontId="0" fillId="0" borderId="8" xfId="0" applyNumberFormat="1" applyFill="1" applyBorder="1"/>
    <xf numFmtId="0" fontId="4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9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 applyAlignment="1">
      <alignment vertical="top"/>
    </xf>
    <xf numFmtId="165" fontId="0" fillId="0" borderId="1" xfId="0" applyNumberFormat="1" applyBorder="1" applyAlignment="1">
      <alignment vertical="top" wrapText="1"/>
    </xf>
    <xf numFmtId="166" fontId="0" fillId="0" borderId="0" xfId="0" applyNumberFormat="1"/>
    <xf numFmtId="167" fontId="0" fillId="0" borderId="0" xfId="0" applyNumberFormat="1"/>
    <xf numFmtId="0" fontId="2" fillId="0" borderId="1" xfId="0" applyFont="1" applyBorder="1"/>
    <xf numFmtId="0" fontId="5" fillId="0" borderId="1" xfId="3" quotePrefix="1" applyBorder="1"/>
    <xf numFmtId="0" fontId="5" fillId="0" borderId="1" xfId="3" applyBorder="1"/>
    <xf numFmtId="0" fontId="0" fillId="0" borderId="1" xfId="0" applyBorder="1" applyAlignment="1">
      <alignment horizontal="left"/>
    </xf>
    <xf numFmtId="10" fontId="0" fillId="3" borderId="0" xfId="0" applyNumberFormat="1" applyFill="1"/>
    <xf numFmtId="0" fontId="0" fillId="3" borderId="0" xfId="0" applyFill="1" applyAlignment="1">
      <alignment horizontal="right"/>
    </xf>
    <xf numFmtId="0" fontId="0" fillId="0" borderId="1" xfId="0" applyBorder="1" applyAlignment="1">
      <alignment horizontal="right"/>
    </xf>
    <xf numFmtId="43" fontId="0" fillId="0" borderId="1" xfId="0" applyNumberFormat="1" applyBorder="1"/>
    <xf numFmtId="9" fontId="0" fillId="2" borderId="1" xfId="0" applyNumberFormat="1" applyFill="1" applyBorder="1"/>
    <xf numFmtId="0" fontId="6" fillId="0" borderId="0" xfId="0" applyFont="1"/>
    <xf numFmtId="10" fontId="6" fillId="0" borderId="0" xfId="2" applyNumberFormat="1" applyFont="1"/>
    <xf numFmtId="164" fontId="6" fillId="0" borderId="0" xfId="1" applyNumberFormat="1" applyFont="1"/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Assignments/6.%20Ashiwini%20Mittal%20uncle's%20bid%20for%20work/1.%20F&amp;V%20Processing%20unit/F&amp;V%20Processing%20Unit%20Annexures%20-%20With%20Subsid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anana%20ripening%20centre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Budgets"/>
      <sheetName val="Assumptions"/>
      <sheetName val="For word file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>
        <row r="1">
          <cell r="A1" t="str">
            <v>Annexure 3 - Complete Estimate of Civil and Plant and Machinery</v>
          </cell>
        </row>
      </sheetData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>
        <row r="1">
          <cell r="A1" t="str">
            <v>Annexure 6 - Requirement of Power and Fuel</v>
          </cell>
        </row>
      </sheetData>
      <sheetData sheetId="7">
        <row r="1">
          <cell r="A1" t="str">
            <v>Annexure 7 - Details of Mnpower (Technical)</v>
          </cell>
        </row>
      </sheetData>
      <sheetData sheetId="8">
        <row r="1">
          <cell r="A1" t="str">
            <v>Annexure 8 - Details of Mnpower (Administrative)</v>
          </cell>
        </row>
      </sheetData>
      <sheetData sheetId="9">
        <row r="1">
          <cell r="A1" t="str">
            <v>Annexure 9 - Computation of Depreciation</v>
          </cell>
        </row>
      </sheetData>
      <sheetData sheetId="10">
        <row r="1">
          <cell r="A1" t="str">
            <v>Annexure 10 - Calculation of Income tax</v>
          </cell>
        </row>
      </sheetData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>
        <row r="1">
          <cell r="A1" t="str">
            <v>Annexure 13 - Repayment schedule</v>
          </cell>
        </row>
      </sheetData>
      <sheetData sheetId="14">
        <row r="1">
          <cell r="A1" t="str">
            <v>Sales Budget</v>
          </cell>
        </row>
      </sheetData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8"/>
      <sheetName val="Ann 9"/>
      <sheetName val="Ann 10"/>
      <sheetName val="Ann 11"/>
      <sheetName val="Ann 12"/>
      <sheetName val="Ann 13"/>
      <sheetName val="Cash flows"/>
      <sheetName val="Budgets"/>
      <sheetName val="Assumptions"/>
      <sheetName val="For word fi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Cash flow statement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FF76-E2FC-42AE-9F82-282C2D1007AD}">
  <dimension ref="A1:B18"/>
  <sheetViews>
    <sheetView tabSelected="1" workbookViewId="0">
      <selection activeCell="A23" sqref="A23"/>
    </sheetView>
  </sheetViews>
  <sheetFormatPr defaultRowHeight="14.5" x14ac:dyDescent="0.35"/>
  <cols>
    <col min="1" max="1" width="57.90625" bestFit="1" customWidth="1"/>
    <col min="2" max="2" width="14.453125" bestFit="1" customWidth="1"/>
  </cols>
  <sheetData>
    <row r="1" spans="1:2" x14ac:dyDescent="0.35">
      <c r="A1" s="22" t="s">
        <v>267</v>
      </c>
    </row>
    <row r="3" spans="1:2" x14ac:dyDescent="0.35">
      <c r="A3" s="80" t="s">
        <v>268</v>
      </c>
      <c r="B3" s="80" t="s">
        <v>269</v>
      </c>
    </row>
    <row r="4" spans="1:2" x14ac:dyDescent="0.35">
      <c r="A4" s="12" t="str">
        <f>'[1]Ann 1'!A3</f>
        <v>Annexure 1 - Estimated cost of the project</v>
      </c>
      <c r="B4" s="81" t="s">
        <v>270</v>
      </c>
    </row>
    <row r="5" spans="1:2" x14ac:dyDescent="0.35">
      <c r="A5" s="12" t="str">
        <f>'[1]Ann 2'!A1</f>
        <v>Annexure 2 - Means of Finance</v>
      </c>
      <c r="B5" s="81" t="s">
        <v>271</v>
      </c>
    </row>
    <row r="6" spans="1:2" x14ac:dyDescent="0.35">
      <c r="A6" s="12" t="str">
        <f>'[1]Ann 3'!A1</f>
        <v>Annexure 3 - Complete Estimate of Civil and Plant and Machinery</v>
      </c>
      <c r="B6" s="81" t="s">
        <v>272</v>
      </c>
    </row>
    <row r="7" spans="1:2" x14ac:dyDescent="0.35">
      <c r="A7" s="12" t="str">
        <f>'[1]Ann 4'!A1</f>
        <v>Annexure 4 - Estimated Cost of Production</v>
      </c>
      <c r="B7" s="81" t="s">
        <v>273</v>
      </c>
    </row>
    <row r="8" spans="1:2" x14ac:dyDescent="0.35">
      <c r="A8" s="12" t="str">
        <f>'[1]Ann 5'!A1</f>
        <v>Annexure 5- Projected balance sheet</v>
      </c>
      <c r="B8" s="81" t="s">
        <v>274</v>
      </c>
    </row>
    <row r="9" spans="1:2" x14ac:dyDescent="0.35">
      <c r="A9" s="12" t="str">
        <f>'[1]Ann 6'!A1</f>
        <v>Annexure 6 - Requirement of Power and Fuel</v>
      </c>
      <c r="B9" s="81" t="s">
        <v>275</v>
      </c>
    </row>
    <row r="10" spans="1:2" x14ac:dyDescent="0.35">
      <c r="A10" s="12" t="str">
        <f>'[1]Ann 7'!A1</f>
        <v>Annexure 7 - Details of Mnpower (Technical)</v>
      </c>
      <c r="B10" s="81" t="s">
        <v>276</v>
      </c>
    </row>
    <row r="11" spans="1:2" x14ac:dyDescent="0.35">
      <c r="A11" s="12" t="str">
        <f>'[1]Ann 8'!A1</f>
        <v>Annexure 8 - Details of Mnpower (Administrative)</v>
      </c>
      <c r="B11" s="81" t="s">
        <v>277</v>
      </c>
    </row>
    <row r="12" spans="1:2" x14ac:dyDescent="0.35">
      <c r="A12" s="12" t="str">
        <f>'[1]Ann 9'!A1</f>
        <v>Annexure 9 - Computation of Depreciation</v>
      </c>
      <c r="B12" s="81" t="s">
        <v>278</v>
      </c>
    </row>
    <row r="13" spans="1:2" x14ac:dyDescent="0.35">
      <c r="A13" s="12" t="str">
        <f>'[1]Ann 10'!A1</f>
        <v>Annexure 10 - Calculation of Income tax</v>
      </c>
      <c r="B13" s="81" t="s">
        <v>279</v>
      </c>
    </row>
    <row r="14" spans="1:2" x14ac:dyDescent="0.35">
      <c r="A14" s="12" t="str">
        <f>'[1]Ann 11'!A1</f>
        <v>Annexure 11- Break even analysis (At maximum capacity utilization)</v>
      </c>
      <c r="B14" s="81" t="s">
        <v>280</v>
      </c>
    </row>
    <row r="15" spans="1:2" x14ac:dyDescent="0.35">
      <c r="A15" s="12" t="str">
        <f>'[1]Ann 13'!A1</f>
        <v>Annexure 13 - Repayment schedule</v>
      </c>
      <c r="B15" s="81" t="s">
        <v>281</v>
      </c>
    </row>
    <row r="16" spans="1:2" x14ac:dyDescent="0.35">
      <c r="A16" s="12" t="str">
        <f>[1]Assumptions!B1</f>
        <v>Assumptions</v>
      </c>
      <c r="B16" s="82" t="s">
        <v>282</v>
      </c>
    </row>
    <row r="17" spans="1:2" x14ac:dyDescent="0.35">
      <c r="A17" s="12" t="str">
        <f>'[2]Cash flows'!A1</f>
        <v>Cash flow statement</v>
      </c>
      <c r="B17" s="81" t="s">
        <v>283</v>
      </c>
    </row>
    <row r="18" spans="1:2" x14ac:dyDescent="0.35">
      <c r="A18" s="12" t="str">
        <f>[1]Budgets!A1</f>
        <v>Sales Budget</v>
      </c>
      <c r="B18" s="82" t="s">
        <v>284</v>
      </c>
    </row>
  </sheetData>
  <hyperlinks>
    <hyperlink ref="B4" location="'Ann 1'!A1" display="'Ann 1'!A1" xr:uid="{4D1F96B3-FA58-4B38-8E0B-BE4B3CD05A7B}"/>
    <hyperlink ref="B5" location="'Ann 2'!A1" display="'Ann 2'!A1" xr:uid="{2D119F5B-E769-4D64-A8D9-11DF9C281239}"/>
    <hyperlink ref="B6" location="'Ann 3'!A1" display="'Ann 3'!A1" xr:uid="{8FBC39E4-25F8-481E-B777-9E173B73775E}"/>
    <hyperlink ref="B7" location="'Ann 5'!A1" display="Ann 4'!A1" xr:uid="{BBE99251-A1CC-449C-B7C7-C7912C4BE9F8}"/>
    <hyperlink ref="B8" location="'Ann 6'!A1" display="Ann 5'!A1" xr:uid="{039FB714-F86A-4E40-A866-4CE2ACE3D523}"/>
    <hyperlink ref="B9" location="'Ann 6'!A1" display="'Ann 6'!A1" xr:uid="{1C646A59-D812-486C-8F45-1B34AF620DAB}"/>
    <hyperlink ref="B10" location="'Ann 7'!A1" display="'Ann 7'!A1" xr:uid="{B291BE6F-F44F-4C59-8CAA-98F93D73BE5C}"/>
    <hyperlink ref="B11" location="'Ann 8'!A1" display="'Ann 8'!A1" xr:uid="{28D7B713-A94A-4538-857E-B735BE939ABC}"/>
    <hyperlink ref="B12" location="'Ann 9'!A1" display="'Ann 9'!A1" xr:uid="{A84C10F9-9E26-492E-8854-B5AA8BD3A067}"/>
    <hyperlink ref="B13" location="'Ann 10'!A1" display="'Ann 10'!A1" xr:uid="{8F22DEB8-B41A-4589-BDB1-054056FB3C9E}"/>
    <hyperlink ref="B14" location="'Ann 11'!A1" display="'Ann 11'!A1" xr:uid="{380BC5C4-DA76-41FB-A45E-9E55206E9FDA}"/>
    <hyperlink ref="B15" location="'Ann 13'!A1" display="'Ann 13'!A1" xr:uid="{06FF1154-A984-4C9A-B733-F0912B49F3C9}"/>
    <hyperlink ref="B16" location="Assumptions!A1" display="Assumptions!A1" xr:uid="{609D2BAB-7839-4CA3-9B6B-AF93BF852E70}"/>
    <hyperlink ref="B18" location="Budgets!A1" display="Budgets!A1" xr:uid="{7B7C1868-FC09-449F-851A-26D4E541FAEF}"/>
    <hyperlink ref="B17" location="'Cash flows'!A1" display="'Cash flows'!A1" xr:uid="{B5A5DA20-A41B-4B22-9F4D-73BA0AE5FE93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H33"/>
  <sheetViews>
    <sheetView topLeftCell="A12" workbookViewId="0">
      <selection activeCell="D32" sqref="D32"/>
    </sheetView>
  </sheetViews>
  <sheetFormatPr defaultRowHeight="14.5" x14ac:dyDescent="0.35"/>
  <cols>
    <col min="2" max="2" width="23.54296875" bestFit="1" customWidth="1"/>
    <col min="4" max="4" width="14.6328125" bestFit="1" customWidth="1"/>
    <col min="5" max="5" width="12.54296875" bestFit="1" customWidth="1"/>
    <col min="6" max="6" width="13.6328125" bestFit="1" customWidth="1"/>
    <col min="16" max="16" width="13.6328125" bestFit="1" customWidth="1"/>
    <col min="17" max="17" width="12.54296875" bestFit="1" customWidth="1"/>
  </cols>
  <sheetData>
    <row r="1" spans="1:8" x14ac:dyDescent="0.35">
      <c r="A1" s="22" t="s">
        <v>76</v>
      </c>
    </row>
    <row r="3" spans="1:8" x14ac:dyDescent="0.35">
      <c r="A3" s="3" t="s">
        <v>77</v>
      </c>
    </row>
    <row r="5" spans="1:8" x14ac:dyDescent="0.35">
      <c r="B5" t="s">
        <v>54</v>
      </c>
      <c r="F5" s="15">
        <f>Budgets!B18*Budgets!C18</f>
        <v>136077600</v>
      </c>
    </row>
    <row r="6" spans="1:8" x14ac:dyDescent="0.35">
      <c r="B6" t="s">
        <v>78</v>
      </c>
    </row>
    <row r="7" spans="1:8" x14ac:dyDescent="0.35">
      <c r="B7" s="23" t="s">
        <v>229</v>
      </c>
      <c r="E7" s="15">
        <f>'Ann 4'!C7/60%</f>
        <v>95798630.400000006</v>
      </c>
    </row>
    <row r="8" spans="1:8" x14ac:dyDescent="0.35">
      <c r="B8" s="23" t="s">
        <v>79</v>
      </c>
      <c r="E8" s="16">
        <f>E7*5%</f>
        <v>4789931.5200000005</v>
      </c>
    </row>
    <row r="9" spans="1:8" x14ac:dyDescent="0.35">
      <c r="B9" s="23" t="s">
        <v>80</v>
      </c>
      <c r="E9" s="16">
        <f>2.5*Budgets!B18</f>
        <v>27215520</v>
      </c>
      <c r="G9" s="23"/>
    </row>
    <row r="10" spans="1:8" x14ac:dyDescent="0.35">
      <c r="B10" s="23" t="s">
        <v>81</v>
      </c>
      <c r="E10" s="16">
        <f>1000000*10%</f>
        <v>100000</v>
      </c>
      <c r="F10" s="16"/>
    </row>
    <row r="11" spans="1:8" x14ac:dyDescent="0.35">
      <c r="B11" s="23" t="s">
        <v>85</v>
      </c>
      <c r="E11" s="16">
        <f>'Ann 4'!K44</f>
        <v>1403582.6715996095</v>
      </c>
      <c r="F11" s="16">
        <f>SUM(E7:E11)</f>
        <v>129307664.59159961</v>
      </c>
      <c r="H11" s="24"/>
    </row>
    <row r="12" spans="1:8" x14ac:dyDescent="0.35">
      <c r="B12" t="s">
        <v>82</v>
      </c>
      <c r="F12" s="16">
        <f>F5-F11</f>
        <v>6769935.4084003866</v>
      </c>
    </row>
    <row r="13" spans="1:8" x14ac:dyDescent="0.35">
      <c r="B13" t="s">
        <v>83</v>
      </c>
    </row>
    <row r="14" spans="1:8" x14ac:dyDescent="0.35">
      <c r="B14" t="s">
        <v>84</v>
      </c>
      <c r="F14" s="16">
        <f>'Ann 8'!E12</f>
        <v>1368000</v>
      </c>
    </row>
    <row r="15" spans="1:8" x14ac:dyDescent="0.35">
      <c r="B15" t="s">
        <v>87</v>
      </c>
      <c r="F15" s="16">
        <v>100000</v>
      </c>
    </row>
    <row r="16" spans="1:8" x14ac:dyDescent="0.35">
      <c r="B16" t="s">
        <v>250</v>
      </c>
      <c r="F16" s="16">
        <v>200000</v>
      </c>
    </row>
    <row r="17" spans="2:6" x14ac:dyDescent="0.35">
      <c r="B17" t="s">
        <v>251</v>
      </c>
      <c r="F17" s="16">
        <f>'Ann 4'!C26</f>
        <v>151826.09999999998</v>
      </c>
    </row>
    <row r="18" spans="2:6" x14ac:dyDescent="0.35">
      <c r="B18" t="s">
        <v>86</v>
      </c>
      <c r="F18" s="16">
        <f>SUM('Ann 9'!C13:D21)</f>
        <v>2040833.4533016505</v>
      </c>
    </row>
    <row r="19" spans="2:6" x14ac:dyDescent="0.35">
      <c r="B19" t="s">
        <v>89</v>
      </c>
      <c r="F19" s="16">
        <f>SUM(F14:F18)</f>
        <v>3860659.5533016506</v>
      </c>
    </row>
    <row r="22" spans="2:6" x14ac:dyDescent="0.35">
      <c r="D22" t="s">
        <v>244</v>
      </c>
    </row>
    <row r="23" spans="2:6" x14ac:dyDescent="0.35">
      <c r="B23" t="s">
        <v>94</v>
      </c>
      <c r="D23">
        <f>Budgets!C18</f>
        <v>12.5</v>
      </c>
    </row>
    <row r="24" spans="2:6" x14ac:dyDescent="0.35">
      <c r="B24" s="23" t="s">
        <v>245</v>
      </c>
      <c r="D24">
        <f>Budgets!D18</f>
        <v>8</v>
      </c>
    </row>
    <row r="25" spans="2:6" x14ac:dyDescent="0.35">
      <c r="B25" s="23" t="s">
        <v>93</v>
      </c>
      <c r="D25">
        <f>D23*5%</f>
        <v>0.625</v>
      </c>
    </row>
    <row r="26" spans="2:6" x14ac:dyDescent="0.35">
      <c r="B26" s="23" t="s">
        <v>92</v>
      </c>
      <c r="D26">
        <f>100000/Budgets!B18</f>
        <v>9.1859350840990724E-3</v>
      </c>
    </row>
    <row r="27" spans="2:6" x14ac:dyDescent="0.35">
      <c r="B27" s="23" t="s">
        <v>248</v>
      </c>
      <c r="D27">
        <v>2.5</v>
      </c>
    </row>
    <row r="28" spans="2:6" x14ac:dyDescent="0.35">
      <c r="B28" t="s">
        <v>91</v>
      </c>
      <c r="D28" s="24">
        <f>E11/Budgets!B18</f>
        <v>0.12893219306480361</v>
      </c>
    </row>
    <row r="29" spans="2:6" x14ac:dyDescent="0.35">
      <c r="B29" t="s">
        <v>90</v>
      </c>
      <c r="D29" s="24">
        <f>D23-D24-D25-D26-D28-D27</f>
        <v>1.2368818718510974</v>
      </c>
    </row>
    <row r="30" spans="2:6" x14ac:dyDescent="0.35">
      <c r="B30" t="s">
        <v>88</v>
      </c>
      <c r="D30" s="16">
        <f>F19</f>
        <v>3860659.5533016506</v>
      </c>
    </row>
    <row r="31" spans="2:6" x14ac:dyDescent="0.35">
      <c r="B31" t="s">
        <v>246</v>
      </c>
      <c r="D31" s="24">
        <f>D30/D29</f>
        <v>3121283.9650757029</v>
      </c>
    </row>
    <row r="32" spans="2:6" x14ac:dyDescent="0.35">
      <c r="B32" t="s">
        <v>247</v>
      </c>
      <c r="D32" s="43">
        <f>D31/Budgets!B18</f>
        <v>0.28671911882224765</v>
      </c>
    </row>
    <row r="33" spans="4:4" x14ac:dyDescent="0.35">
      <c r="D33" s="4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95</v>
      </c>
    </row>
    <row r="3" spans="1:11" x14ac:dyDescent="0.35">
      <c r="C3" s="95" t="s">
        <v>96</v>
      </c>
      <c r="D3" s="95"/>
      <c r="E3" s="95"/>
      <c r="F3" s="95"/>
      <c r="G3" s="95"/>
      <c r="H3" s="95"/>
      <c r="I3" s="95"/>
      <c r="J3" s="95"/>
      <c r="K3" s="95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97</v>
      </c>
      <c r="C5" t="e">
        <f>'Ann 4'!#REF!</f>
        <v>#REF!</v>
      </c>
      <c r="D5" t="e">
        <f>'Ann 4'!#REF!</f>
        <v>#REF!</v>
      </c>
      <c r="E5" t="e">
        <f>'Ann 4'!#REF!</f>
        <v>#REF!</v>
      </c>
      <c r="F5" t="e">
        <f>'Ann 4'!#REF!</f>
        <v>#REF!</v>
      </c>
      <c r="G5" t="e">
        <f>'Ann 4'!#REF!</f>
        <v>#REF!</v>
      </c>
      <c r="H5" t="e">
        <f>'Ann 4'!#REF!</f>
        <v>#REF!</v>
      </c>
      <c r="I5" t="e">
        <f>'Ann 4'!#REF!</f>
        <v>#REF!</v>
      </c>
      <c r="J5" t="e">
        <f>'Ann 4'!#REF!</f>
        <v>#REF!</v>
      </c>
      <c r="K5" t="e">
        <f>'Ann 4'!#REF!</f>
        <v>#REF!</v>
      </c>
    </row>
    <row r="6" spans="1:11" x14ac:dyDescent="0.35">
      <c r="A6" t="s">
        <v>98</v>
      </c>
      <c r="C6" t="e">
        <f>'Ann 4'!#REF!</f>
        <v>#REF!</v>
      </c>
      <c r="D6" t="e">
        <f>'Ann 4'!#REF!</f>
        <v>#REF!</v>
      </c>
      <c r="E6" t="e">
        <f>'Ann 4'!#REF!</f>
        <v>#REF!</v>
      </c>
      <c r="F6" t="e">
        <f>'Ann 4'!#REF!</f>
        <v>#REF!</v>
      </c>
      <c r="G6" t="e">
        <f>'Ann 4'!#REF!</f>
        <v>#REF!</v>
      </c>
      <c r="H6" t="e">
        <f>'Ann 4'!#REF!</f>
        <v>#REF!</v>
      </c>
      <c r="I6" t="e">
        <f>'Ann 4'!#REF!</f>
        <v>#REF!</v>
      </c>
      <c r="J6" t="e">
        <f>'Ann 4'!#REF!</f>
        <v>#REF!</v>
      </c>
      <c r="K6" t="e">
        <f>'Ann 4'!#REF!</f>
        <v>#REF!</v>
      </c>
    </row>
    <row r="7" spans="1:11" x14ac:dyDescent="0.35">
      <c r="A7" t="s">
        <v>99</v>
      </c>
    </row>
  </sheetData>
  <mergeCells count="1">
    <mergeCell ref="C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36"/>
  <sheetViews>
    <sheetView workbookViewId="0">
      <selection activeCell="E9" sqref="E9"/>
    </sheetView>
  </sheetViews>
  <sheetFormatPr defaultRowHeight="14.5" x14ac:dyDescent="0.35"/>
  <cols>
    <col min="1" max="1" width="4.54296875" bestFit="1" customWidth="1"/>
    <col min="2" max="2" width="7.36328125" bestFit="1" customWidth="1"/>
    <col min="3" max="3" width="17.81640625" bestFit="1" customWidth="1"/>
    <col min="4" max="4" width="17.36328125" bestFit="1" customWidth="1"/>
    <col min="5" max="5" width="7.26953125" bestFit="1" customWidth="1"/>
  </cols>
  <sheetData>
    <row r="1" spans="1:7" x14ac:dyDescent="0.35">
      <c r="A1" s="22" t="s">
        <v>105</v>
      </c>
    </row>
    <row r="3" spans="1:7" x14ac:dyDescent="0.35">
      <c r="A3" s="3" t="s">
        <v>106</v>
      </c>
    </row>
    <row r="4" spans="1:7" x14ac:dyDescent="0.35">
      <c r="A4" t="s">
        <v>107</v>
      </c>
      <c r="D4" s="2">
        <f>'Ann 2'!C6</f>
        <v>25.549999999999997</v>
      </c>
    </row>
    <row r="5" spans="1:7" x14ac:dyDescent="0.35">
      <c r="A5" t="s">
        <v>108</v>
      </c>
      <c r="D5" s="84">
        <v>0.06</v>
      </c>
    </row>
    <row r="6" spans="1:7" x14ac:dyDescent="0.35">
      <c r="A6" t="s">
        <v>109</v>
      </c>
      <c r="D6" s="85" t="s">
        <v>171</v>
      </c>
    </row>
    <row r="8" spans="1:7" x14ac:dyDescent="0.35">
      <c r="A8" s="33" t="s">
        <v>75</v>
      </c>
      <c r="B8" s="33" t="s">
        <v>110</v>
      </c>
      <c r="C8" s="33" t="s">
        <v>111</v>
      </c>
      <c r="D8" s="33" t="s">
        <v>113</v>
      </c>
      <c r="E8" s="33" t="s">
        <v>112</v>
      </c>
    </row>
    <row r="9" spans="1:7" x14ac:dyDescent="0.35">
      <c r="A9" s="96">
        <v>1</v>
      </c>
      <c r="B9" s="12">
        <v>1</v>
      </c>
      <c r="C9" s="66">
        <f>$D$4</f>
        <v>25.549999999999997</v>
      </c>
      <c r="D9" s="12">
        <v>0</v>
      </c>
      <c r="E9" s="12">
        <f>C9*$D$5/4</f>
        <v>0.38324999999999992</v>
      </c>
    </row>
    <row r="10" spans="1:7" x14ac:dyDescent="0.35">
      <c r="A10" s="96"/>
      <c r="B10" s="12">
        <v>2</v>
      </c>
      <c r="C10" s="66">
        <f>$D$4</f>
        <v>25.549999999999997</v>
      </c>
      <c r="D10" s="12">
        <v>0</v>
      </c>
      <c r="E10" s="12">
        <f>C10*$D$5/4</f>
        <v>0.38324999999999992</v>
      </c>
      <c r="G10" s="69"/>
    </row>
    <row r="11" spans="1:7" x14ac:dyDescent="0.35">
      <c r="A11" s="96"/>
      <c r="B11" s="12">
        <v>3</v>
      </c>
      <c r="C11" s="66">
        <f>$D$4</f>
        <v>25.549999999999997</v>
      </c>
      <c r="D11" s="12">
        <v>0.98260000000000003</v>
      </c>
      <c r="E11" s="12">
        <f>C11*$D$5/4</f>
        <v>0.38324999999999992</v>
      </c>
    </row>
    <row r="12" spans="1:7" x14ac:dyDescent="0.35">
      <c r="A12" s="96"/>
      <c r="B12" s="12">
        <v>4</v>
      </c>
      <c r="C12" s="12">
        <f t="shared" ref="C12:C17" si="0">C11-D11</f>
        <v>24.567399999999996</v>
      </c>
      <c r="D12" s="12">
        <f>D11</f>
        <v>0.98260000000000003</v>
      </c>
      <c r="E12" s="12">
        <f>C12*$D$5/4</f>
        <v>0.36851099999999992</v>
      </c>
    </row>
    <row r="13" spans="1:7" x14ac:dyDescent="0.35">
      <c r="A13" s="96">
        <v>2</v>
      </c>
      <c r="B13" s="12">
        <v>1</v>
      </c>
      <c r="C13" s="12">
        <f t="shared" si="0"/>
        <v>23.584799999999994</v>
      </c>
      <c r="D13" s="12">
        <f t="shared" ref="D13:D35" si="1">D12</f>
        <v>0.98260000000000003</v>
      </c>
      <c r="E13" s="12">
        <f t="shared" ref="E13:E36" si="2">C13*$D$5/4</f>
        <v>0.35377199999999992</v>
      </c>
    </row>
    <row r="14" spans="1:7" x14ac:dyDescent="0.35">
      <c r="A14" s="96"/>
      <c r="B14" s="12">
        <v>2</v>
      </c>
      <c r="C14" s="12">
        <f t="shared" si="0"/>
        <v>22.602199999999993</v>
      </c>
      <c r="D14" s="12">
        <f t="shared" si="1"/>
        <v>0.98260000000000003</v>
      </c>
      <c r="E14" s="12">
        <f t="shared" si="2"/>
        <v>0.33903299999999986</v>
      </c>
    </row>
    <row r="15" spans="1:7" x14ac:dyDescent="0.35">
      <c r="A15" s="96"/>
      <c r="B15" s="12">
        <v>3</v>
      </c>
      <c r="C15" s="12">
        <f t="shared" si="0"/>
        <v>21.619599999999991</v>
      </c>
      <c r="D15" s="12">
        <f t="shared" si="1"/>
        <v>0.98260000000000003</v>
      </c>
      <c r="E15" s="12">
        <f t="shared" si="2"/>
        <v>0.32429399999999986</v>
      </c>
    </row>
    <row r="16" spans="1:7" x14ac:dyDescent="0.35">
      <c r="A16" s="96"/>
      <c r="B16" s="12">
        <v>4</v>
      </c>
      <c r="C16" s="12">
        <f t="shared" si="0"/>
        <v>20.63699999999999</v>
      </c>
      <c r="D16" s="12">
        <f t="shared" si="1"/>
        <v>0.98260000000000003</v>
      </c>
      <c r="E16" s="12">
        <f t="shared" si="2"/>
        <v>0.30955499999999986</v>
      </c>
    </row>
    <row r="17" spans="1:5" x14ac:dyDescent="0.35">
      <c r="A17" s="96">
        <v>3</v>
      </c>
      <c r="B17" s="12">
        <v>1</v>
      </c>
      <c r="C17" s="12">
        <f t="shared" si="0"/>
        <v>19.654399999999988</v>
      </c>
      <c r="D17" s="12">
        <f t="shared" si="1"/>
        <v>0.98260000000000003</v>
      </c>
      <c r="E17" s="12">
        <f t="shared" si="2"/>
        <v>0.2948159999999998</v>
      </c>
    </row>
    <row r="18" spans="1:5" x14ac:dyDescent="0.35">
      <c r="A18" s="96"/>
      <c r="B18" s="12">
        <v>2</v>
      </c>
      <c r="C18" s="12">
        <f t="shared" ref="C18:C36" si="3">C17-D17</f>
        <v>18.671799999999987</v>
      </c>
      <c r="D18" s="12">
        <f t="shared" si="1"/>
        <v>0.98260000000000003</v>
      </c>
      <c r="E18" s="12">
        <f t="shared" si="2"/>
        <v>0.2800769999999998</v>
      </c>
    </row>
    <row r="19" spans="1:5" x14ac:dyDescent="0.35">
      <c r="A19" s="96"/>
      <c r="B19" s="12">
        <v>3</v>
      </c>
      <c r="C19" s="12">
        <f t="shared" si="3"/>
        <v>17.689199999999985</v>
      </c>
      <c r="D19" s="12">
        <f t="shared" si="1"/>
        <v>0.98260000000000003</v>
      </c>
      <c r="E19" s="12">
        <f t="shared" si="2"/>
        <v>0.2653379999999998</v>
      </c>
    </row>
    <row r="20" spans="1:5" x14ac:dyDescent="0.35">
      <c r="A20" s="96"/>
      <c r="B20" s="12">
        <v>4</v>
      </c>
      <c r="C20" s="12">
        <f t="shared" si="3"/>
        <v>16.706599999999984</v>
      </c>
      <c r="D20" s="12">
        <f t="shared" si="1"/>
        <v>0.98260000000000003</v>
      </c>
      <c r="E20" s="12">
        <f t="shared" si="2"/>
        <v>0.25059899999999974</v>
      </c>
    </row>
    <row r="21" spans="1:5" x14ac:dyDescent="0.35">
      <c r="A21" s="96">
        <v>4</v>
      </c>
      <c r="B21" s="12">
        <v>1</v>
      </c>
      <c r="C21" s="12">
        <f t="shared" si="3"/>
        <v>15.723999999999984</v>
      </c>
      <c r="D21" s="12">
        <f t="shared" si="1"/>
        <v>0.98260000000000003</v>
      </c>
      <c r="E21" s="12">
        <f t="shared" si="2"/>
        <v>0.23585999999999976</v>
      </c>
    </row>
    <row r="22" spans="1:5" x14ac:dyDescent="0.35">
      <c r="A22" s="96"/>
      <c r="B22" s="12">
        <v>2</v>
      </c>
      <c r="C22" s="12">
        <f t="shared" si="3"/>
        <v>14.741399999999985</v>
      </c>
      <c r="D22" s="12">
        <f t="shared" si="1"/>
        <v>0.98260000000000003</v>
      </c>
      <c r="E22" s="12">
        <f t="shared" si="2"/>
        <v>0.22112099999999976</v>
      </c>
    </row>
    <row r="23" spans="1:5" x14ac:dyDescent="0.35">
      <c r="A23" s="96"/>
      <c r="B23" s="12">
        <v>3</v>
      </c>
      <c r="C23" s="12">
        <f t="shared" si="3"/>
        <v>13.758799999999985</v>
      </c>
      <c r="D23" s="12">
        <f t="shared" si="1"/>
        <v>0.98260000000000003</v>
      </c>
      <c r="E23" s="12">
        <f t="shared" si="2"/>
        <v>0.20638199999999976</v>
      </c>
    </row>
    <row r="24" spans="1:5" x14ac:dyDescent="0.35">
      <c r="A24" s="96"/>
      <c r="B24" s="12">
        <v>4</v>
      </c>
      <c r="C24" s="12">
        <f t="shared" si="3"/>
        <v>12.776199999999985</v>
      </c>
      <c r="D24" s="12">
        <f t="shared" si="1"/>
        <v>0.98260000000000003</v>
      </c>
      <c r="E24" s="12">
        <f t="shared" si="2"/>
        <v>0.19164299999999976</v>
      </c>
    </row>
    <row r="25" spans="1:5" x14ac:dyDescent="0.35">
      <c r="A25" s="96">
        <v>5</v>
      </c>
      <c r="B25" s="12">
        <v>1</v>
      </c>
      <c r="C25" s="12">
        <f t="shared" si="3"/>
        <v>11.793599999999985</v>
      </c>
      <c r="D25" s="12">
        <f t="shared" si="1"/>
        <v>0.98260000000000003</v>
      </c>
      <c r="E25" s="12">
        <f t="shared" si="2"/>
        <v>0.17690399999999978</v>
      </c>
    </row>
    <row r="26" spans="1:5" x14ac:dyDescent="0.35">
      <c r="A26" s="96"/>
      <c r="B26" s="12">
        <v>2</v>
      </c>
      <c r="C26" s="12">
        <f t="shared" si="3"/>
        <v>10.810999999999986</v>
      </c>
      <c r="D26" s="12">
        <f t="shared" si="1"/>
        <v>0.98260000000000003</v>
      </c>
      <c r="E26" s="12">
        <f t="shared" si="2"/>
        <v>0.16216499999999978</v>
      </c>
    </row>
    <row r="27" spans="1:5" x14ac:dyDescent="0.35">
      <c r="A27" s="96"/>
      <c r="B27" s="12">
        <v>3</v>
      </c>
      <c r="C27" s="12">
        <f t="shared" si="3"/>
        <v>9.828399999999986</v>
      </c>
      <c r="D27" s="12">
        <f t="shared" si="1"/>
        <v>0.98260000000000003</v>
      </c>
      <c r="E27" s="12">
        <f t="shared" si="2"/>
        <v>0.14742599999999978</v>
      </c>
    </row>
    <row r="28" spans="1:5" x14ac:dyDescent="0.35">
      <c r="A28" s="96"/>
      <c r="B28" s="12">
        <v>4</v>
      </c>
      <c r="C28" s="12">
        <f t="shared" si="3"/>
        <v>8.8457999999999863</v>
      </c>
      <c r="D28" s="12">
        <f t="shared" si="1"/>
        <v>0.98260000000000003</v>
      </c>
      <c r="E28" s="12">
        <f t="shared" si="2"/>
        <v>0.13268699999999978</v>
      </c>
    </row>
    <row r="29" spans="1:5" x14ac:dyDescent="0.35">
      <c r="A29" s="96">
        <v>6</v>
      </c>
      <c r="B29" s="12">
        <v>1</v>
      </c>
      <c r="C29" s="12">
        <f t="shared" si="3"/>
        <v>7.8631999999999866</v>
      </c>
      <c r="D29" s="12">
        <f t="shared" si="1"/>
        <v>0.98260000000000003</v>
      </c>
      <c r="E29" s="12">
        <f t="shared" si="2"/>
        <v>0.11794799999999979</v>
      </c>
    </row>
    <row r="30" spans="1:5" x14ac:dyDescent="0.35">
      <c r="A30" s="96"/>
      <c r="B30" s="12">
        <v>2</v>
      </c>
      <c r="C30" s="12">
        <f t="shared" si="3"/>
        <v>6.8805999999999869</v>
      </c>
      <c r="D30" s="12">
        <f t="shared" si="1"/>
        <v>0.98260000000000003</v>
      </c>
      <c r="E30" s="12">
        <f t="shared" si="2"/>
        <v>0.1032089999999998</v>
      </c>
    </row>
    <row r="31" spans="1:5" x14ac:dyDescent="0.35">
      <c r="A31" s="96"/>
      <c r="B31" s="12">
        <v>3</v>
      </c>
      <c r="C31" s="12">
        <f t="shared" si="3"/>
        <v>5.8979999999999873</v>
      </c>
      <c r="D31" s="12">
        <f t="shared" si="1"/>
        <v>0.98260000000000003</v>
      </c>
      <c r="E31" s="12">
        <f t="shared" si="2"/>
        <v>8.8469999999999799E-2</v>
      </c>
    </row>
    <row r="32" spans="1:5" x14ac:dyDescent="0.35">
      <c r="A32" s="96"/>
      <c r="B32" s="12">
        <v>4</v>
      </c>
      <c r="C32" s="12">
        <f t="shared" si="3"/>
        <v>4.9153999999999876</v>
      </c>
      <c r="D32" s="12">
        <f t="shared" si="1"/>
        <v>0.98260000000000003</v>
      </c>
      <c r="E32" s="12">
        <f t="shared" si="2"/>
        <v>7.3730999999999811E-2</v>
      </c>
    </row>
    <row r="33" spans="1:5" x14ac:dyDescent="0.35">
      <c r="A33" s="96">
        <v>7</v>
      </c>
      <c r="B33" s="12">
        <v>1</v>
      </c>
      <c r="C33" s="12">
        <f t="shared" si="3"/>
        <v>3.9327999999999874</v>
      </c>
      <c r="D33" s="12">
        <f t="shared" si="1"/>
        <v>0.98260000000000003</v>
      </c>
      <c r="E33" s="12">
        <f t="shared" si="2"/>
        <v>5.8991999999999808E-2</v>
      </c>
    </row>
    <row r="34" spans="1:5" x14ac:dyDescent="0.35">
      <c r="A34" s="96"/>
      <c r="B34" s="12">
        <v>2</v>
      </c>
      <c r="C34" s="12">
        <f t="shared" si="3"/>
        <v>2.9501999999999873</v>
      </c>
      <c r="D34" s="12">
        <f t="shared" si="1"/>
        <v>0.98260000000000003</v>
      </c>
      <c r="E34" s="12">
        <f t="shared" si="2"/>
        <v>4.4252999999999806E-2</v>
      </c>
    </row>
    <row r="35" spans="1:5" x14ac:dyDescent="0.35">
      <c r="A35" s="96"/>
      <c r="B35" s="12">
        <v>3</v>
      </c>
      <c r="C35" s="12">
        <f t="shared" si="3"/>
        <v>1.9675999999999871</v>
      </c>
      <c r="D35" s="12">
        <f t="shared" si="1"/>
        <v>0.98260000000000003</v>
      </c>
      <c r="E35" s="12">
        <f t="shared" si="2"/>
        <v>2.9513999999999804E-2</v>
      </c>
    </row>
    <row r="36" spans="1:5" x14ac:dyDescent="0.35">
      <c r="A36" s="96"/>
      <c r="B36" s="12">
        <v>4</v>
      </c>
      <c r="C36" s="12">
        <f t="shared" si="3"/>
        <v>0.98499999999998711</v>
      </c>
      <c r="D36" s="66">
        <f>D4-SUM(D9:D35)</f>
        <v>0.98499999999998877</v>
      </c>
      <c r="E36" s="12">
        <f t="shared" si="2"/>
        <v>1.4774999999999806E-2</v>
      </c>
    </row>
  </sheetData>
  <mergeCells count="7">
    <mergeCell ref="A33:A36"/>
    <mergeCell ref="A9:A12"/>
    <mergeCell ref="A13:A16"/>
    <mergeCell ref="A17:A20"/>
    <mergeCell ref="A21:A24"/>
    <mergeCell ref="A25:A28"/>
    <mergeCell ref="A29:A3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ADB1-212F-431E-A926-791FC9CE0F57}">
  <sheetPr>
    <pageSetUpPr fitToPage="1"/>
  </sheetPr>
  <dimension ref="A1:K30"/>
  <sheetViews>
    <sheetView workbookViewId="0">
      <selection activeCell="D18" sqref="D18"/>
    </sheetView>
  </sheetViews>
  <sheetFormatPr defaultRowHeight="14.5" x14ac:dyDescent="0.35"/>
  <cols>
    <col min="1" max="1" width="26.08984375" bestFit="1" customWidth="1"/>
    <col min="2" max="2" width="18" bestFit="1" customWidth="1"/>
    <col min="3" max="3" width="13.453125" bestFit="1" customWidth="1"/>
    <col min="4" max="4" width="13.7265625" bestFit="1" customWidth="1"/>
    <col min="5" max="10" width="13.453125" bestFit="1" customWidth="1"/>
    <col min="11" max="11" width="12.54296875" bestFit="1" customWidth="1"/>
  </cols>
  <sheetData>
    <row r="1" spans="1:10" x14ac:dyDescent="0.35">
      <c r="A1" t="s">
        <v>194</v>
      </c>
    </row>
    <row r="2" spans="1:10" x14ac:dyDescent="0.35">
      <c r="B2" s="95" t="s">
        <v>52</v>
      </c>
      <c r="C2" s="95"/>
      <c r="D2" s="95"/>
      <c r="E2" s="95"/>
      <c r="F2" s="95"/>
      <c r="G2" s="95"/>
      <c r="H2" s="95"/>
      <c r="I2" s="95"/>
      <c r="J2" s="95"/>
    </row>
    <row r="3" spans="1:10" x14ac:dyDescent="0.35">
      <c r="A3" s="12"/>
      <c r="B3" s="12" t="s">
        <v>43</v>
      </c>
      <c r="C3" s="12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2" t="s">
        <v>49</v>
      </c>
      <c r="I3" s="12" t="s">
        <v>50</v>
      </c>
      <c r="J3" s="12" t="s">
        <v>51</v>
      </c>
    </row>
    <row r="4" spans="1:10" x14ac:dyDescent="0.35">
      <c r="A4" s="12" t="s">
        <v>195</v>
      </c>
      <c r="B4" s="74">
        <v>0.6</v>
      </c>
      <c r="C4" s="74">
        <v>0.65</v>
      </c>
      <c r="D4" s="74">
        <v>0.7</v>
      </c>
      <c r="E4" s="74">
        <v>0.75</v>
      </c>
      <c r="F4" s="74">
        <v>0.8</v>
      </c>
      <c r="G4" s="74">
        <v>0.85</v>
      </c>
      <c r="H4" s="74">
        <v>0.9</v>
      </c>
      <c r="I4" s="74">
        <v>0.95</v>
      </c>
      <c r="J4" s="74">
        <v>1</v>
      </c>
    </row>
    <row r="5" spans="1:10" x14ac:dyDescent="0.35">
      <c r="A5" s="12" t="s">
        <v>215</v>
      </c>
      <c r="B5" s="75">
        <f>$B$18*B4</f>
        <v>6531724.7999999998</v>
      </c>
      <c r="C5" s="75">
        <f t="shared" ref="C5:J5" si="0">$B$18*C4</f>
        <v>7076035.2000000002</v>
      </c>
      <c r="D5" s="75">
        <f t="shared" si="0"/>
        <v>7620345.5999999996</v>
      </c>
      <c r="E5" s="75">
        <f t="shared" si="0"/>
        <v>8164656</v>
      </c>
      <c r="F5" s="75">
        <f t="shared" si="0"/>
        <v>8708966.4000000004</v>
      </c>
      <c r="G5" s="75">
        <f t="shared" si="0"/>
        <v>9253276.7999999989</v>
      </c>
      <c r="H5" s="75">
        <f t="shared" si="0"/>
        <v>9797587.2000000011</v>
      </c>
      <c r="I5" s="75">
        <f t="shared" si="0"/>
        <v>10341897.6</v>
      </c>
      <c r="J5" s="75">
        <f t="shared" si="0"/>
        <v>10886208</v>
      </c>
    </row>
    <row r="6" spans="1:10" x14ac:dyDescent="0.35">
      <c r="A6" s="12" t="s">
        <v>196</v>
      </c>
      <c r="B6" s="75">
        <f>B5*99%</f>
        <v>6466407.5520000001</v>
      </c>
      <c r="C6" s="75">
        <f t="shared" ref="C6:J6" si="1">C5*99%</f>
        <v>7005274.8480000002</v>
      </c>
      <c r="D6" s="75">
        <f t="shared" si="1"/>
        <v>7544142.1439999994</v>
      </c>
      <c r="E6" s="75">
        <f t="shared" si="1"/>
        <v>8083009.4399999995</v>
      </c>
      <c r="F6" s="75">
        <f t="shared" si="1"/>
        <v>8621876.7359999996</v>
      </c>
      <c r="G6" s="75">
        <f t="shared" si="1"/>
        <v>9160744.0319999997</v>
      </c>
      <c r="H6" s="75">
        <f t="shared" si="1"/>
        <v>9699611.3280000016</v>
      </c>
      <c r="I6" s="75">
        <f t="shared" si="1"/>
        <v>10238478.624</v>
      </c>
      <c r="J6" s="75">
        <f t="shared" si="1"/>
        <v>10777345.92</v>
      </c>
    </row>
    <row r="7" spans="1:10" x14ac:dyDescent="0.35">
      <c r="A7" s="12" t="s">
        <v>54</v>
      </c>
      <c r="B7" s="75">
        <f>B5*$C$18</f>
        <v>81646560</v>
      </c>
      <c r="C7" s="75">
        <f>C5*$C$18*1.05</f>
        <v>92872962</v>
      </c>
      <c r="D7" s="75">
        <f t="shared" ref="D7:J7" si="2">D5*$C$18*1.05</f>
        <v>100017036</v>
      </c>
      <c r="E7" s="75">
        <f t="shared" si="2"/>
        <v>107161110</v>
      </c>
      <c r="F7" s="75">
        <f t="shared" si="2"/>
        <v>114305184</v>
      </c>
      <c r="G7" s="75">
        <f t="shared" si="2"/>
        <v>121449257.99999999</v>
      </c>
      <c r="H7" s="75">
        <f t="shared" si="2"/>
        <v>128593332.00000001</v>
      </c>
      <c r="I7" s="75">
        <f t="shared" si="2"/>
        <v>135737406</v>
      </c>
      <c r="J7" s="75">
        <f t="shared" si="2"/>
        <v>142881480</v>
      </c>
    </row>
    <row r="8" spans="1:10" x14ac:dyDescent="0.35">
      <c r="B8" s="2"/>
      <c r="C8" s="2"/>
      <c r="D8" s="2"/>
      <c r="E8" s="2"/>
      <c r="F8" s="2"/>
      <c r="G8" s="2"/>
      <c r="H8" s="2"/>
      <c r="I8" s="2"/>
      <c r="J8" s="2"/>
    </row>
    <row r="9" spans="1:10" x14ac:dyDescent="0.35">
      <c r="B9" s="2"/>
      <c r="C9" s="2"/>
      <c r="D9" s="2"/>
      <c r="E9" s="2"/>
      <c r="F9" s="2"/>
      <c r="G9" s="2"/>
      <c r="H9" s="2"/>
      <c r="I9" s="2"/>
      <c r="J9" s="2"/>
    </row>
    <row r="11" spans="1:10" x14ac:dyDescent="0.35">
      <c r="A11" s="22" t="s">
        <v>197</v>
      </c>
    </row>
    <row r="13" spans="1:10" x14ac:dyDescent="0.35">
      <c r="A13" t="s">
        <v>198</v>
      </c>
      <c r="B13">
        <v>4535.92</v>
      </c>
      <c r="C13" t="s">
        <v>199</v>
      </c>
    </row>
    <row r="14" spans="1:10" x14ac:dyDescent="0.35">
      <c r="A14" t="s">
        <v>200</v>
      </c>
      <c r="B14">
        <f>300*8</f>
        <v>2400</v>
      </c>
      <c r="C14" t="s">
        <v>201</v>
      </c>
    </row>
    <row r="15" spans="1:10" x14ac:dyDescent="0.35">
      <c r="A15" t="s">
        <v>202</v>
      </c>
      <c r="B15" s="15">
        <f>B14*B13</f>
        <v>10886208</v>
      </c>
      <c r="C15" t="s">
        <v>203</v>
      </c>
    </row>
    <row r="17" spans="1:11" s="72" customFormat="1" ht="43.5" x14ac:dyDescent="0.35">
      <c r="A17" s="70" t="s">
        <v>204</v>
      </c>
      <c r="B17" s="71" t="s">
        <v>205</v>
      </c>
      <c r="C17" s="71" t="s">
        <v>206</v>
      </c>
      <c r="D17" s="71" t="s">
        <v>207</v>
      </c>
    </row>
    <row r="18" spans="1:11" s="72" customFormat="1" x14ac:dyDescent="0.35">
      <c r="A18" s="70" t="s">
        <v>213</v>
      </c>
      <c r="B18" s="76">
        <f>B15</f>
        <v>10886208</v>
      </c>
      <c r="C18" s="77">
        <v>12.5</v>
      </c>
      <c r="D18" s="77">
        <v>8</v>
      </c>
      <c r="E18" s="73"/>
    </row>
    <row r="20" spans="1:11" x14ac:dyDescent="0.35">
      <c r="A20" s="22" t="s">
        <v>232</v>
      </c>
      <c r="C20" s="95" t="s">
        <v>52</v>
      </c>
      <c r="D20" s="95"/>
      <c r="E20" s="95"/>
      <c r="F20" s="95"/>
      <c r="G20" s="95"/>
      <c r="H20" s="95"/>
      <c r="I20" s="95"/>
      <c r="J20" s="95"/>
      <c r="K20" s="95"/>
    </row>
    <row r="21" spans="1:11" x14ac:dyDescent="0.35">
      <c r="B21" t="s">
        <v>43</v>
      </c>
      <c r="C21" t="s">
        <v>44</v>
      </c>
      <c r="D21" t="s">
        <v>45</v>
      </c>
      <c r="E21" t="s">
        <v>46</v>
      </c>
      <c r="F21" t="s">
        <v>47</v>
      </c>
      <c r="G21" t="s">
        <v>48</v>
      </c>
      <c r="H21" t="s">
        <v>49</v>
      </c>
      <c r="I21" t="s">
        <v>50</v>
      </c>
      <c r="J21" t="s">
        <v>51</v>
      </c>
    </row>
    <row r="22" spans="1:11" x14ac:dyDescent="0.35">
      <c r="A22" t="s">
        <v>208</v>
      </c>
      <c r="B22" s="16">
        <v>0</v>
      </c>
      <c r="C22" s="16">
        <f>B25</f>
        <v>65317.247999999672</v>
      </c>
      <c r="D22" s="16">
        <f t="shared" ref="D22:J22" si="3">C25</f>
        <v>136077.59999999963</v>
      </c>
      <c r="E22" s="16">
        <f t="shared" si="3"/>
        <v>212281.05599999987</v>
      </c>
      <c r="F22" s="16">
        <f t="shared" si="3"/>
        <v>293927.61600000039</v>
      </c>
      <c r="G22" s="16">
        <f t="shared" si="3"/>
        <v>381017.28000000119</v>
      </c>
      <c r="H22" s="16">
        <f t="shared" si="3"/>
        <v>473550.04800000042</v>
      </c>
      <c r="I22" s="16">
        <f t="shared" si="3"/>
        <v>571525.91999999993</v>
      </c>
      <c r="J22" s="16">
        <f t="shared" si="3"/>
        <v>674944.89599999972</v>
      </c>
    </row>
    <row r="23" spans="1:11" x14ac:dyDescent="0.35">
      <c r="A23" t="s">
        <v>209</v>
      </c>
      <c r="B23" s="16">
        <f>B5</f>
        <v>6531724.7999999998</v>
      </c>
      <c r="C23" s="16">
        <f t="shared" ref="C23:J23" si="4">C5</f>
        <v>7076035.2000000002</v>
      </c>
      <c r="D23" s="16">
        <f t="shared" si="4"/>
        <v>7620345.5999999996</v>
      </c>
      <c r="E23" s="16">
        <f t="shared" si="4"/>
        <v>8164656</v>
      </c>
      <c r="F23" s="16">
        <f t="shared" si="4"/>
        <v>8708966.4000000004</v>
      </c>
      <c r="G23" s="16">
        <f t="shared" si="4"/>
        <v>9253276.7999999989</v>
      </c>
      <c r="H23" s="16">
        <f t="shared" si="4"/>
        <v>9797587.2000000011</v>
      </c>
      <c r="I23" s="16">
        <f t="shared" si="4"/>
        <v>10341897.6</v>
      </c>
      <c r="J23" s="16">
        <f t="shared" si="4"/>
        <v>10886208</v>
      </c>
    </row>
    <row r="24" spans="1:11" x14ac:dyDescent="0.35">
      <c r="A24" t="s">
        <v>210</v>
      </c>
      <c r="B24" s="16">
        <f>B6</f>
        <v>6466407.5520000001</v>
      </c>
      <c r="C24" s="16">
        <f t="shared" ref="C24:J24" si="5">C6</f>
        <v>7005274.8480000002</v>
      </c>
      <c r="D24" s="16">
        <f t="shared" si="5"/>
        <v>7544142.1439999994</v>
      </c>
      <c r="E24" s="16">
        <f t="shared" si="5"/>
        <v>8083009.4399999995</v>
      </c>
      <c r="F24" s="16">
        <f t="shared" si="5"/>
        <v>8621876.7359999996</v>
      </c>
      <c r="G24" s="16">
        <f t="shared" si="5"/>
        <v>9160744.0319999997</v>
      </c>
      <c r="H24" s="16">
        <f t="shared" si="5"/>
        <v>9699611.3280000016</v>
      </c>
      <c r="I24" s="16">
        <f t="shared" si="5"/>
        <v>10238478.624</v>
      </c>
      <c r="J24" s="16">
        <f t="shared" si="5"/>
        <v>10777345.92</v>
      </c>
    </row>
    <row r="25" spans="1:11" x14ac:dyDescent="0.35">
      <c r="A25" t="s">
        <v>211</v>
      </c>
      <c r="B25" s="16">
        <f>B22+B23-B24</f>
        <v>65317.247999999672</v>
      </c>
      <c r="C25" s="16">
        <f t="shared" ref="C25:J25" si="6">C22+C23-C24</f>
        <v>136077.59999999963</v>
      </c>
      <c r="D25" s="16">
        <f t="shared" si="6"/>
        <v>212281.05599999987</v>
      </c>
      <c r="E25" s="16">
        <f t="shared" si="6"/>
        <v>293927.61600000039</v>
      </c>
      <c r="F25" s="16">
        <f t="shared" si="6"/>
        <v>381017.28000000119</v>
      </c>
      <c r="G25" s="16">
        <f t="shared" si="6"/>
        <v>473550.04800000042</v>
      </c>
      <c r="H25" s="16">
        <f t="shared" si="6"/>
        <v>571525.91999999993</v>
      </c>
      <c r="I25" s="16">
        <f t="shared" si="6"/>
        <v>674944.89599999972</v>
      </c>
      <c r="J25" s="16">
        <f t="shared" si="6"/>
        <v>783806.97599999979</v>
      </c>
    </row>
    <row r="28" spans="1:11" x14ac:dyDescent="0.35">
      <c r="A28" t="s">
        <v>212</v>
      </c>
    </row>
    <row r="29" spans="1:11" x14ac:dyDescent="0.35">
      <c r="A29" t="s">
        <v>214</v>
      </c>
    </row>
    <row r="30" spans="1:11" x14ac:dyDescent="0.35">
      <c r="A30" t="s">
        <v>216</v>
      </c>
    </row>
  </sheetData>
  <mergeCells count="2">
    <mergeCell ref="B2:J2"/>
    <mergeCell ref="C20:K20"/>
  </mergeCells>
  <pageMargins left="0.7" right="0.7" top="0.75" bottom="0.75" header="0.3" footer="0.3"/>
  <pageSetup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1C3B-78D2-43F9-ABE8-F6A84BAA4AE1}">
  <sheetPr>
    <pageSetUpPr fitToPage="1"/>
  </sheetPr>
  <dimension ref="A1:K27"/>
  <sheetViews>
    <sheetView topLeftCell="A5" workbookViewId="0">
      <selection activeCell="A17" sqref="A17"/>
    </sheetView>
  </sheetViews>
  <sheetFormatPr defaultRowHeight="14.5" x14ac:dyDescent="0.35"/>
  <cols>
    <col min="1" max="1" width="41.1796875" bestFit="1" customWidth="1"/>
    <col min="2" max="3" width="15.6328125" bestFit="1" customWidth="1"/>
    <col min="4" max="10" width="16.6328125" bestFit="1" customWidth="1"/>
    <col min="11" max="11" width="15.6328125" bestFit="1" customWidth="1"/>
  </cols>
  <sheetData>
    <row r="1" spans="1:10" x14ac:dyDescent="0.35">
      <c r="A1" s="22" t="s">
        <v>236</v>
      </c>
    </row>
    <row r="2" spans="1:10" x14ac:dyDescent="0.35">
      <c r="A2" s="22"/>
    </row>
    <row r="3" spans="1:10" x14ac:dyDescent="0.35">
      <c r="A3" s="33" t="s">
        <v>3</v>
      </c>
      <c r="B3" s="33" t="s">
        <v>43</v>
      </c>
      <c r="C3" s="33" t="s">
        <v>44</v>
      </c>
      <c r="D3" s="33" t="s">
        <v>45</v>
      </c>
      <c r="E3" s="33" t="s">
        <v>46</v>
      </c>
      <c r="F3" s="33" t="s">
        <v>47</v>
      </c>
      <c r="G3" s="33" t="s">
        <v>48</v>
      </c>
      <c r="H3" s="33" t="s">
        <v>49</v>
      </c>
      <c r="I3" s="33" t="s">
        <v>50</v>
      </c>
      <c r="J3" s="33" t="s">
        <v>51</v>
      </c>
    </row>
    <row r="4" spans="1:10" x14ac:dyDescent="0.35">
      <c r="A4" s="12" t="s">
        <v>178</v>
      </c>
      <c r="B4" s="29">
        <v>1000000</v>
      </c>
      <c r="C4" s="29">
        <f>B16</f>
        <v>4246827.2167200111</v>
      </c>
      <c r="D4" s="29">
        <f t="shared" ref="D4:J4" si="0">C16</f>
        <v>4340023.0360000208</v>
      </c>
      <c r="E4" s="29">
        <f t="shared" si="0"/>
        <v>4847772.5353400111</v>
      </c>
      <c r="F4" s="29">
        <f t="shared" si="0"/>
        <v>5366015.9347950015</v>
      </c>
      <c r="G4" s="29">
        <f t="shared" si="0"/>
        <v>5898116.8538645403</v>
      </c>
      <c r="H4" s="29">
        <f t="shared" si="0"/>
        <v>6446734.0032964116</v>
      </c>
      <c r="I4" s="29">
        <f t="shared" si="0"/>
        <v>7013669.6932251686</v>
      </c>
      <c r="J4" s="29">
        <f t="shared" si="0"/>
        <v>7992708.6115046591</v>
      </c>
    </row>
    <row r="5" spans="1:10" x14ac:dyDescent="0.35">
      <c r="A5" s="12" t="s">
        <v>179</v>
      </c>
      <c r="B5" s="29">
        <f>'Ann 4'!C22-'Ann 5'!C13</f>
        <v>73481904</v>
      </c>
      <c r="C5" s="29">
        <f>'Ann 4'!D22-'Ann 5'!D13</f>
        <v>83585665.799999997</v>
      </c>
      <c r="D5" s="29">
        <f>'Ann 4'!E22-'Ann 5'!E13</f>
        <v>90015332.400000006</v>
      </c>
      <c r="E5" s="29">
        <f>'Ann 4'!F22-'Ann 5'!F13</f>
        <v>96444999</v>
      </c>
      <c r="F5" s="29">
        <f>'Ann 4'!G22-'Ann 5'!G13</f>
        <v>102874665.59999999</v>
      </c>
      <c r="G5" s="29">
        <f>'Ann 4'!H22-'Ann 5'!H13</f>
        <v>109304332.19999999</v>
      </c>
      <c r="H5" s="29">
        <f>'Ann 4'!I22-'Ann 5'!I13</f>
        <v>115733998.80000001</v>
      </c>
      <c r="I5" s="29">
        <f>'Ann 4'!J22-'Ann 5'!J13</f>
        <v>122163665.40000001</v>
      </c>
      <c r="J5" s="29">
        <f>'Ann 4'!K22-'Ann 5'!K13</f>
        <v>128593332</v>
      </c>
    </row>
    <row r="6" spans="1:10" x14ac:dyDescent="0.35">
      <c r="A6" s="12" t="s">
        <v>237</v>
      </c>
      <c r="B6" s="29">
        <v>0</v>
      </c>
      <c r="C6" s="29">
        <f>'Ann 5'!C24</f>
        <v>11495835.648</v>
      </c>
      <c r="D6" s="29">
        <f>'Ann 5'!D24</f>
        <v>12453821.952000001</v>
      </c>
      <c r="E6" s="29">
        <f>'Ann 5'!E24</f>
        <v>13411808.256000001</v>
      </c>
      <c r="F6" s="29">
        <f>'Ann 5'!F24</f>
        <v>14369794.560000002</v>
      </c>
      <c r="G6" s="29">
        <f>'Ann 5'!G24</f>
        <v>15327780.864000002</v>
      </c>
      <c r="H6" s="29">
        <f>'Ann 5'!H24</f>
        <v>16285767.168000001</v>
      </c>
      <c r="I6" s="29">
        <f>'Ann 5'!I24</f>
        <v>17243753.472000003</v>
      </c>
      <c r="J6" s="29">
        <f>'Ann 5'!J24</f>
        <v>18201739.776000001</v>
      </c>
    </row>
    <row r="7" spans="1:10" x14ac:dyDescent="0.35">
      <c r="A7" s="12" t="s">
        <v>238</v>
      </c>
      <c r="B7" s="29">
        <v>0</v>
      </c>
      <c r="C7" s="29">
        <f>'Ann 5'!C13</f>
        <v>8164656</v>
      </c>
      <c r="D7" s="29">
        <f>'Ann 5'!D13</f>
        <v>9287296.1999999993</v>
      </c>
      <c r="E7" s="29">
        <f>'Ann 5'!E13</f>
        <v>10001703.6</v>
      </c>
      <c r="F7" s="29">
        <f>'Ann 5'!F13</f>
        <v>10716111</v>
      </c>
      <c r="G7" s="29">
        <f>'Ann 5'!G13</f>
        <v>11430518.4</v>
      </c>
      <c r="H7" s="29">
        <f>'Ann 5'!H13</f>
        <v>12144925.799999999</v>
      </c>
      <c r="I7" s="29">
        <f>'Ann 5'!I13</f>
        <v>12859333.200000001</v>
      </c>
      <c r="J7" s="29">
        <f>'Ann 5'!J13</f>
        <v>13573740.6</v>
      </c>
    </row>
    <row r="8" spans="1:10" x14ac:dyDescent="0.35">
      <c r="A8" s="12" t="s">
        <v>239</v>
      </c>
      <c r="B8" s="29">
        <f>'Ann 4'!C10+'Ann 4'!C19-'Ann 5'!C24</f>
        <v>67831320.384000003</v>
      </c>
      <c r="C8" s="29">
        <f>'Ann 4'!D10+'Ann 4'!D19-'Ann 5'!D24</f>
        <v>73193510.415999994</v>
      </c>
      <c r="D8" s="29">
        <f>'Ann 4'!E10+'Ann 4'!E19-'Ann 5'!E24</f>
        <v>78753080.247999996</v>
      </c>
      <c r="E8" s="29">
        <f>'Ann 4'!F10+'Ann 4'!F19-'Ann 5'!F24</f>
        <v>84320445.71800001</v>
      </c>
      <c r="F8" s="29">
        <f>'Ann 4'!G10+'Ann 4'!G19-'Ann 5'!G24</f>
        <v>89896046.362780005</v>
      </c>
      <c r="G8" s="29">
        <f>'Ann 4'!H10+'Ann 4'!H19-'Ann 5'!H24</f>
        <v>95480346.77917181</v>
      </c>
      <c r="H8" s="29">
        <f>'Ann 4'!I10+'Ann 4'!I19-'Ann 5'!I24</f>
        <v>101073838.06401277</v>
      </c>
      <c r="I8" s="29">
        <f>'Ann 4'!J10+'Ann 4'!J19-'Ann 5'!J24</f>
        <v>106677039.3373535</v>
      </c>
      <c r="J8" s="29">
        <f>'Ann 4'!K10+'Ann 4'!K19-'Ann 5'!K24</f>
        <v>112290499.35375826</v>
      </c>
    </row>
    <row r="9" spans="1:10" x14ac:dyDescent="0.35">
      <c r="A9" s="12" t="s">
        <v>180</v>
      </c>
      <c r="B9" s="29">
        <f>'Ann 4'!C28</f>
        <v>251826.09999999998</v>
      </c>
      <c r="C9" s="29">
        <f>'Ann 4'!D28</f>
        <v>232665.39999999994</v>
      </c>
      <c r="D9" s="29">
        <f>'Ann 4'!E28</f>
        <v>209082.99999999994</v>
      </c>
      <c r="E9" s="29">
        <f>'Ann 4'!F28</f>
        <v>185500.59999999992</v>
      </c>
      <c r="F9" s="29">
        <f>'Ann 4'!G28</f>
        <v>161918.1999999999</v>
      </c>
      <c r="G9" s="29">
        <f>'Ann 4'!H28</f>
        <v>138335.79999999993</v>
      </c>
      <c r="H9" s="29">
        <f>'Ann 4'!I28</f>
        <v>114753.39999999992</v>
      </c>
      <c r="I9" s="29">
        <f>'Ann 4'!J28</f>
        <v>100000</v>
      </c>
      <c r="J9" s="29">
        <f>'Ann 4'!K28</f>
        <v>100000</v>
      </c>
    </row>
    <row r="10" spans="1:10" x14ac:dyDescent="0.35">
      <c r="A10" s="12"/>
      <c r="B10" s="29">
        <f t="shared" ref="B10:J10" si="1">B4+B5-B6+B7-B8-B9</f>
        <v>6398757.515999997</v>
      </c>
      <c r="C10" s="29">
        <f t="shared" si="1"/>
        <v>11075137.552720016</v>
      </c>
      <c r="D10" s="29">
        <f t="shared" si="1"/>
        <v>12226666.436000019</v>
      </c>
      <c r="E10" s="29">
        <f t="shared" si="1"/>
        <v>13376720.561339999</v>
      </c>
      <c r="F10" s="29">
        <f t="shared" si="1"/>
        <v>14529033.412014995</v>
      </c>
      <c r="G10" s="29">
        <f t="shared" si="1"/>
        <v>15686504.010692712</v>
      </c>
      <c r="H10" s="29">
        <f t="shared" si="1"/>
        <v>16851299.971283652</v>
      </c>
      <c r="I10" s="29">
        <f t="shared" si="1"/>
        <v>18015875.483871683</v>
      </c>
      <c r="J10" s="29">
        <f t="shared" si="1"/>
        <v>19567542.081746414</v>
      </c>
    </row>
    <row r="11" spans="1:10" x14ac:dyDescent="0.35">
      <c r="A11" s="12" t="s">
        <v>241</v>
      </c>
      <c r="B11" s="29">
        <f>'Ann 4'!C34</f>
        <v>703050.10439999518</v>
      </c>
      <c r="C11" s="29">
        <f>'Ann 4'!D34</f>
        <v>2212351.5755999982</v>
      </c>
      <c r="D11" s="29">
        <f>'Ann 4'!E34</f>
        <v>2436925.7793000028</v>
      </c>
      <c r="E11" s="29">
        <f>'Ann 4'!F34</f>
        <v>2657324.8697249992</v>
      </c>
      <c r="F11" s="29">
        <f>'Ann 4'!G34</f>
        <v>2873677.8691222514</v>
      </c>
      <c r="G11" s="29">
        <f>'Ann 4'!H34</f>
        <v>3086068.6072312673</v>
      </c>
      <c r="H11" s="29">
        <f>'Ann 4'!I34</f>
        <v>3294540.7946715639</v>
      </c>
      <c r="I11" s="29">
        <f>'Ann 4'!J34</f>
        <v>3496453.5601280318</v>
      </c>
      <c r="J11" s="29">
        <f>'Ann 4'!K34</f>
        <v>3690005.0501084956</v>
      </c>
    </row>
    <row r="12" spans="1:10" x14ac:dyDescent="0.35">
      <c r="A12" s="12"/>
      <c r="B12" s="29">
        <f>B10-B11</f>
        <v>5695707.4116000021</v>
      </c>
      <c r="C12" s="29">
        <f t="shared" ref="C12:J12" si="2">C10-C11</f>
        <v>8862785.9771200176</v>
      </c>
      <c r="D12" s="29">
        <f t="shared" si="2"/>
        <v>9789740.6567000169</v>
      </c>
      <c r="E12" s="29">
        <f t="shared" si="2"/>
        <v>10719395.691615</v>
      </c>
      <c r="F12" s="29">
        <f t="shared" si="2"/>
        <v>11655355.542892743</v>
      </c>
      <c r="G12" s="29">
        <f t="shared" si="2"/>
        <v>12600435.403461445</v>
      </c>
      <c r="H12" s="29">
        <f t="shared" si="2"/>
        <v>13556759.176612088</v>
      </c>
      <c r="I12" s="29">
        <f t="shared" si="2"/>
        <v>14519421.923743652</v>
      </c>
      <c r="J12" s="29">
        <f t="shared" si="2"/>
        <v>15877537.031637918</v>
      </c>
    </row>
    <row r="13" spans="1:10" x14ac:dyDescent="0.35">
      <c r="A13" s="12" t="s">
        <v>240</v>
      </c>
      <c r="B13" s="29">
        <f>'Ann 4'!C36</f>
        <v>1252360.194879991</v>
      </c>
      <c r="C13" s="29">
        <f>'Ann 4'!D36</f>
        <v>4129722.9411199973</v>
      </c>
      <c r="D13" s="29">
        <f>'Ann 4'!E36</f>
        <v>4548928.1213600058</v>
      </c>
      <c r="E13" s="29">
        <f>'Ann 4'!F36</f>
        <v>4960339.7568199988</v>
      </c>
      <c r="F13" s="29">
        <f>'Ann 4'!G36</f>
        <v>5364198.6890282026</v>
      </c>
      <c r="G13" s="29">
        <f>'Ann 4'!H36</f>
        <v>5760661.4001650335</v>
      </c>
      <c r="H13" s="29">
        <f>'Ann 4'!I36</f>
        <v>6149809.4833869208</v>
      </c>
      <c r="I13" s="29">
        <f>'Ann 4'!J36</f>
        <v>6526713.3122389931</v>
      </c>
      <c r="J13" s="29">
        <f>'Ann 4'!K36</f>
        <v>6888009.4268691912</v>
      </c>
    </row>
    <row r="14" spans="1:10" x14ac:dyDescent="0.35">
      <c r="A14" s="12"/>
      <c r="B14" s="29">
        <f>B12-B13</f>
        <v>4443347.2167200111</v>
      </c>
      <c r="C14" s="29">
        <f t="shared" ref="C14:J14" si="3">C12-C13</f>
        <v>4733063.0360000208</v>
      </c>
      <c r="D14" s="29">
        <f t="shared" si="3"/>
        <v>5240812.5353400111</v>
      </c>
      <c r="E14" s="29">
        <f t="shared" si="3"/>
        <v>5759055.9347950015</v>
      </c>
      <c r="F14" s="29">
        <f t="shared" si="3"/>
        <v>6291156.8538645403</v>
      </c>
      <c r="G14" s="29">
        <f t="shared" si="3"/>
        <v>6839774.0032964116</v>
      </c>
      <c r="H14" s="29">
        <f t="shared" si="3"/>
        <v>7406949.6932251677</v>
      </c>
      <c r="I14" s="29">
        <f t="shared" si="3"/>
        <v>7992708.6115046591</v>
      </c>
      <c r="J14" s="29">
        <f t="shared" si="3"/>
        <v>8989527.604768727</v>
      </c>
    </row>
    <row r="15" spans="1:10" x14ac:dyDescent="0.35">
      <c r="A15" s="12" t="s">
        <v>242</v>
      </c>
      <c r="B15" s="29">
        <f>SUM('Ann 13'!D9:D12)*100000</f>
        <v>196520</v>
      </c>
      <c r="C15" s="29">
        <f>SUM('Ann 13'!D13:D16)*100000</f>
        <v>393040</v>
      </c>
      <c r="D15" s="29">
        <f>SUM('Ann 13'!D17:D20)*100000</f>
        <v>393040</v>
      </c>
      <c r="E15" s="29">
        <f>SUM('Ann 13'!D21:D24)*100000</f>
        <v>393040</v>
      </c>
      <c r="F15" s="29">
        <f>SUM('Ann 13'!D25:D28)*100000</f>
        <v>393040</v>
      </c>
      <c r="G15" s="29">
        <f>SUM('Ann 13'!D30:D33)*100000</f>
        <v>393040</v>
      </c>
      <c r="H15" s="29">
        <f>SUM('Ann 13'!D33:D36)*100000</f>
        <v>393279.99999999889</v>
      </c>
      <c r="I15" s="29">
        <v>0</v>
      </c>
      <c r="J15" s="29">
        <v>0</v>
      </c>
    </row>
    <row r="16" spans="1:10" x14ac:dyDescent="0.35">
      <c r="A16" s="12" t="s">
        <v>243</v>
      </c>
      <c r="B16" s="29">
        <f>B14-B15</f>
        <v>4246827.2167200111</v>
      </c>
      <c r="C16" s="29">
        <f>C14-C15</f>
        <v>4340023.0360000208</v>
      </c>
      <c r="D16" s="29">
        <f>D14-D15</f>
        <v>4847772.5353400111</v>
      </c>
      <c r="E16" s="29">
        <f t="shared" ref="E16:J16" si="4">E14-E15</f>
        <v>5366015.9347950015</v>
      </c>
      <c r="F16" s="29">
        <f t="shared" si="4"/>
        <v>5898116.8538645403</v>
      </c>
      <c r="G16" s="29">
        <f t="shared" si="4"/>
        <v>6446734.0032964116</v>
      </c>
      <c r="H16" s="29">
        <f t="shared" si="4"/>
        <v>7013669.6932251686</v>
      </c>
      <c r="I16" s="29">
        <f t="shared" si="4"/>
        <v>7992708.6115046591</v>
      </c>
      <c r="J16" s="29">
        <f t="shared" si="4"/>
        <v>8989527.604768727</v>
      </c>
    </row>
    <row r="18" spans="1:11" x14ac:dyDescent="0.35">
      <c r="A18" s="89" t="s">
        <v>258</v>
      </c>
      <c r="B18" s="90">
        <v>0.06</v>
      </c>
      <c r="C18" s="89"/>
      <c r="D18" s="89"/>
      <c r="E18" s="89"/>
      <c r="F18" s="89"/>
      <c r="G18" s="89"/>
      <c r="H18" s="89"/>
      <c r="I18" s="89"/>
      <c r="J18" s="89"/>
      <c r="K18" s="89"/>
    </row>
    <row r="19" spans="1:11" x14ac:dyDescent="0.35">
      <c r="A19" s="89" t="s">
        <v>259</v>
      </c>
      <c r="B19" s="89">
        <f>1/(1+$B$18)</f>
        <v>0.94339622641509424</v>
      </c>
      <c r="C19" s="89">
        <f>1/((1+$B$18)*(1+$B$18))</f>
        <v>0.88999644001423983</v>
      </c>
      <c r="D19" s="89">
        <f>1/((1+$B$18)*(1+$B$18)*(1+$B$18))</f>
        <v>0.8396192830323016</v>
      </c>
      <c r="E19" s="89">
        <f>1/((1+$B$18)*(1+$B$18)*(1+$B$18)*(1+$B$18))</f>
        <v>0.79209366323802044</v>
      </c>
      <c r="F19" s="89">
        <f>1/((1+$B$18)*(1+$B$18)*(1+$B$18)*(1+$B$18)*(1+$B$18))</f>
        <v>0.74725817286605689</v>
      </c>
      <c r="G19" s="89">
        <f>1/((1+$B$18)*(1+$B$18)*(1+$B$18)*(1+$B$18)*(1+$B$18)*(1+$B$18))</f>
        <v>0.70496054043967626</v>
      </c>
      <c r="H19" s="89">
        <f>1/((1+$B$18)*(1+$B$18)*(1+$B$18)*(1+$B$18)*(1+$B$18)*(1+$B$18)*(1+$B$18))</f>
        <v>0.6650571136223361</v>
      </c>
      <c r="I19" s="89">
        <f>1/((1+$B$18)*(1+$B$18)*(1+$B$18)*(1+$B$18)*(1+$B$18)*(1+$B$18)*(1+$B$18)*(1+$B$18))</f>
        <v>0.62741237134182648</v>
      </c>
      <c r="J19" s="89">
        <f>1/((1+$B$18)*(1+$B$18)*(1+$B$18)*(1+$B$18)*(1+$B$18)*(1+$B$18)*(1+$B$18)*(1+$B$18)*(1+$B$18))</f>
        <v>0.59189846353002495</v>
      </c>
      <c r="K19" s="89"/>
    </row>
    <row r="20" spans="1:11" x14ac:dyDescent="0.35">
      <c r="A20" s="89" t="s">
        <v>260</v>
      </c>
      <c r="B20" s="91">
        <f t="shared" ref="B20:J20" si="5">B4+B5+B7</f>
        <v>74481904</v>
      </c>
      <c r="C20" s="91">
        <f t="shared" si="5"/>
        <v>95997149.016720012</v>
      </c>
      <c r="D20" s="91">
        <f t="shared" si="5"/>
        <v>103642651.63600002</v>
      </c>
      <c r="E20" s="91">
        <f t="shared" si="5"/>
        <v>111294475.13534001</v>
      </c>
      <c r="F20" s="91">
        <f t="shared" si="5"/>
        <v>118956792.534795</v>
      </c>
      <c r="G20" s="91">
        <f t="shared" si="5"/>
        <v>126632967.45386453</v>
      </c>
      <c r="H20" s="91">
        <f t="shared" si="5"/>
        <v>134325658.60329643</v>
      </c>
      <c r="I20" s="91">
        <f t="shared" si="5"/>
        <v>142036668.29322517</v>
      </c>
      <c r="J20" s="91">
        <f t="shared" si="5"/>
        <v>150159781.21150467</v>
      </c>
      <c r="K20" s="91"/>
    </row>
    <row r="21" spans="1:11" x14ac:dyDescent="0.35">
      <c r="A21" s="89" t="s">
        <v>261</v>
      </c>
      <c r="B21" s="91">
        <f>B19*B20</f>
        <v>70265947.169811308</v>
      </c>
      <c r="C21" s="91">
        <f t="shared" ref="C21:J21" si="6">C19*C20</f>
        <v>85437120.876397297</v>
      </c>
      <c r="D21" s="91">
        <f t="shared" si="6"/>
        <v>87020368.858184934</v>
      </c>
      <c r="E21" s="91">
        <f t="shared" si="6"/>
        <v>88155648.50810425</v>
      </c>
      <c r="F21" s="91">
        <f t="shared" si="6"/>
        <v>88891435.439557508</v>
      </c>
      <c r="G21" s="91">
        <f t="shared" si="6"/>
        <v>89271245.173756272</v>
      </c>
      <c r="H21" s="91">
        <f t="shared" si="6"/>
        <v>89334234.796127647</v>
      </c>
      <c r="I21" s="91">
        <f t="shared" si="6"/>
        <v>89115562.87134482</v>
      </c>
      <c r="J21" s="91">
        <f t="shared" si="6"/>
        <v>88879343.783094317</v>
      </c>
      <c r="K21" s="91"/>
    </row>
    <row r="22" spans="1:11" x14ac:dyDescent="0.35">
      <c r="A22" s="89" t="s">
        <v>262</v>
      </c>
      <c r="B22" s="91">
        <f t="shared" ref="B22:J22" si="7">B6+B8+B9+B11+B13+B15</f>
        <v>70235076.783279985</v>
      </c>
      <c r="C22" s="91">
        <f t="shared" si="7"/>
        <v>91657125.980719998</v>
      </c>
      <c r="D22" s="91">
        <f t="shared" si="7"/>
        <v>98794879.100660011</v>
      </c>
      <c r="E22" s="91">
        <f t="shared" si="7"/>
        <v>105928459.200545</v>
      </c>
      <c r="F22" s="91">
        <f t="shared" si="7"/>
        <v>113058675.68093047</v>
      </c>
      <c r="G22" s="91">
        <f t="shared" si="7"/>
        <v>120186233.45056812</v>
      </c>
      <c r="H22" s="91">
        <f t="shared" si="7"/>
        <v>127311988.91007125</v>
      </c>
      <c r="I22" s="91">
        <f t="shared" si="7"/>
        <v>134043959.68172053</v>
      </c>
      <c r="J22" s="91">
        <f t="shared" si="7"/>
        <v>141170253.60673594</v>
      </c>
      <c r="K22" s="91"/>
    </row>
    <row r="23" spans="1:11" x14ac:dyDescent="0.35">
      <c r="A23" s="89" t="s">
        <v>263</v>
      </c>
      <c r="B23" s="91">
        <f>B22*B19</f>
        <v>66259506.399320737</v>
      </c>
      <c r="C23" s="91">
        <f t="shared" ref="C23:J23" si="8">C22*C19</f>
        <v>81574515.824777484</v>
      </c>
      <c r="D23" s="91">
        <f t="shared" si="8"/>
        <v>82950085.557759076</v>
      </c>
      <c r="E23" s="91">
        <f t="shared" si="8"/>
        <v>83905261.289318874</v>
      </c>
      <c r="F23" s="91">
        <f t="shared" si="8"/>
        <v>84484019.415988207</v>
      </c>
      <c r="G23" s="91">
        <f t="shared" si="8"/>
        <v>84726552.086721599</v>
      </c>
      <c r="H23" s="91">
        <f t="shared" si="8"/>
        <v>84669743.874050856</v>
      </c>
      <c r="I23" s="91">
        <f t="shared" si="8"/>
        <v>84100838.607956454</v>
      </c>
      <c r="J23" s="91">
        <f t="shared" si="8"/>
        <v>83558456.205970973</v>
      </c>
      <c r="K23" s="91"/>
    </row>
    <row r="24" spans="1:11" x14ac:dyDescent="0.35">
      <c r="A24" s="89"/>
      <c r="B24" s="91"/>
      <c r="C24" s="91"/>
      <c r="D24" s="91"/>
      <c r="E24" s="91"/>
      <c r="F24" s="91"/>
      <c r="G24" s="91"/>
      <c r="H24" s="91"/>
      <c r="I24" s="91"/>
      <c r="J24" s="91"/>
      <c r="K24" s="91"/>
    </row>
    <row r="25" spans="1:11" x14ac:dyDescent="0.35">
      <c r="A25" s="89" t="s">
        <v>264</v>
      </c>
      <c r="B25" s="91">
        <f t="shared" ref="B25:J26" si="9">B20-B22</f>
        <v>4246827.2167200148</v>
      </c>
      <c r="C25" s="91">
        <f t="shared" si="9"/>
        <v>4340023.0360000134</v>
      </c>
      <c r="D25" s="91">
        <f t="shared" si="9"/>
        <v>4847772.5353400111</v>
      </c>
      <c r="E25" s="91">
        <f t="shared" si="9"/>
        <v>5366015.9347950071</v>
      </c>
      <c r="F25" s="91">
        <f t="shared" si="9"/>
        <v>5898116.8538645357</v>
      </c>
      <c r="G25" s="91">
        <f t="shared" si="9"/>
        <v>6446734.0032964051</v>
      </c>
      <c r="H25" s="91">
        <f t="shared" si="9"/>
        <v>7013669.6932251751</v>
      </c>
      <c r="I25" s="91">
        <f t="shared" si="9"/>
        <v>7992708.6115046442</v>
      </c>
      <c r="J25" s="91">
        <f t="shared" si="9"/>
        <v>8989527.6047687232</v>
      </c>
      <c r="K25" s="91"/>
    </row>
    <row r="26" spans="1:11" x14ac:dyDescent="0.35">
      <c r="A26" s="89" t="s">
        <v>265</v>
      </c>
      <c r="B26" s="91">
        <f>B21-B23</f>
        <v>4006440.7704905719</v>
      </c>
      <c r="C26" s="91">
        <f t="shared" si="9"/>
        <v>3862605.0516198128</v>
      </c>
      <c r="D26" s="91">
        <f t="shared" si="9"/>
        <v>4070283.3004258573</v>
      </c>
      <c r="E26" s="91">
        <f t="shared" si="9"/>
        <v>4250387.2187853754</v>
      </c>
      <c r="F26" s="91">
        <f t="shared" si="9"/>
        <v>4407416.0235693008</v>
      </c>
      <c r="G26" s="91">
        <f t="shared" si="9"/>
        <v>4544693.0870346725</v>
      </c>
      <c r="H26" s="91">
        <f t="shared" si="9"/>
        <v>4664490.9220767915</v>
      </c>
      <c r="I26" s="91">
        <f t="shared" si="9"/>
        <v>5014724.2633883655</v>
      </c>
      <c r="J26" s="91">
        <f t="shared" si="9"/>
        <v>5320887.5771233439</v>
      </c>
      <c r="K26" s="91">
        <f>SUM(B26:J26)</f>
        <v>40141928.214514092</v>
      </c>
    </row>
    <row r="27" spans="1:11" x14ac:dyDescent="0.3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</row>
  </sheetData>
  <pageMargins left="0.7" right="0.7" top="0.75" bottom="0.75" header="0.3" footer="0.3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7A23-F191-48E7-8B69-EACFF451C9DB}">
  <sheetPr>
    <pageSetUpPr fitToPage="1"/>
  </sheetPr>
  <dimension ref="A1:L11"/>
  <sheetViews>
    <sheetView workbookViewId="0">
      <selection activeCell="A10" sqref="A10:A11"/>
    </sheetView>
  </sheetViews>
  <sheetFormatPr defaultRowHeight="14.5" x14ac:dyDescent="0.35"/>
  <cols>
    <col min="2" max="2" width="84" bestFit="1" customWidth="1"/>
    <col min="3" max="3" width="12.36328125" bestFit="1" customWidth="1"/>
    <col min="4" max="4" width="7.81640625" bestFit="1" customWidth="1"/>
    <col min="5" max="5" width="6.81640625" bestFit="1" customWidth="1"/>
    <col min="6" max="6" width="8.81640625" bestFit="1" customWidth="1"/>
    <col min="7" max="7" width="10.81640625" bestFit="1" customWidth="1"/>
    <col min="8" max="12" width="11.81640625" bestFit="1" customWidth="1"/>
  </cols>
  <sheetData>
    <row r="1" spans="1:12" x14ac:dyDescent="0.35">
      <c r="A1" t="s">
        <v>285</v>
      </c>
      <c r="B1" t="s">
        <v>286</v>
      </c>
    </row>
    <row r="2" spans="1:12" x14ac:dyDescent="0.35">
      <c r="A2">
        <v>1</v>
      </c>
      <c r="B2" t="s">
        <v>287</v>
      </c>
    </row>
    <row r="3" spans="1:12" x14ac:dyDescent="0.35">
      <c r="A3">
        <v>2</v>
      </c>
      <c r="B3" t="s">
        <v>288</v>
      </c>
    </row>
    <row r="4" spans="1:12" x14ac:dyDescent="0.35">
      <c r="A4">
        <v>3</v>
      </c>
      <c r="B4" t="s">
        <v>289</v>
      </c>
    </row>
    <row r="5" spans="1:12" x14ac:dyDescent="0.35">
      <c r="A5">
        <v>4</v>
      </c>
      <c r="B5" t="s">
        <v>290</v>
      </c>
    </row>
    <row r="6" spans="1:12" x14ac:dyDescent="0.35">
      <c r="C6" t="s">
        <v>220</v>
      </c>
      <c r="D6">
        <v>95000</v>
      </c>
      <c r="E6">
        <f>D6*1.05</f>
        <v>99750</v>
      </c>
      <c r="F6">
        <f t="shared" ref="F6:L6" si="0">E6*1.05</f>
        <v>104737.5</v>
      </c>
      <c r="G6">
        <f t="shared" si="0"/>
        <v>109974.375</v>
      </c>
      <c r="H6">
        <f t="shared" si="0"/>
        <v>115473.09375</v>
      </c>
      <c r="I6">
        <f t="shared" si="0"/>
        <v>121246.74843750001</v>
      </c>
      <c r="J6">
        <f t="shared" si="0"/>
        <v>127309.08585937502</v>
      </c>
      <c r="K6">
        <f t="shared" si="0"/>
        <v>133674.54015234378</v>
      </c>
      <c r="L6">
        <f t="shared" si="0"/>
        <v>140358.26715996096</v>
      </c>
    </row>
    <row r="7" spans="1:12" x14ac:dyDescent="0.35">
      <c r="C7" t="s">
        <v>78</v>
      </c>
      <c r="D7">
        <f>D6*12</f>
        <v>1140000</v>
      </c>
      <c r="E7">
        <f t="shared" ref="E7:L7" si="1">E6*10</f>
        <v>997500</v>
      </c>
      <c r="F7">
        <f t="shared" si="1"/>
        <v>1047375</v>
      </c>
      <c r="G7">
        <f t="shared" si="1"/>
        <v>1099743.75</v>
      </c>
      <c r="H7">
        <f t="shared" si="1"/>
        <v>1154730.9375</v>
      </c>
      <c r="I7">
        <f t="shared" si="1"/>
        <v>1212467.484375</v>
      </c>
      <c r="J7">
        <f t="shared" si="1"/>
        <v>1273090.8585937503</v>
      </c>
      <c r="K7">
        <f t="shared" si="1"/>
        <v>1336745.4015234378</v>
      </c>
      <c r="L7">
        <f t="shared" si="1"/>
        <v>1403582.6715996095</v>
      </c>
    </row>
    <row r="8" spans="1:12" x14ac:dyDescent="0.35">
      <c r="A8">
        <v>5</v>
      </c>
      <c r="B8" t="s">
        <v>291</v>
      </c>
    </row>
    <row r="9" spans="1:12" x14ac:dyDescent="0.35">
      <c r="A9">
        <v>6</v>
      </c>
      <c r="B9" t="s">
        <v>292</v>
      </c>
    </row>
    <row r="10" spans="1:12" x14ac:dyDescent="0.35">
      <c r="A10">
        <v>7</v>
      </c>
      <c r="B10" t="s">
        <v>293</v>
      </c>
    </row>
    <row r="11" spans="1:12" x14ac:dyDescent="0.35">
      <c r="A11">
        <v>8</v>
      </c>
      <c r="B11" t="s">
        <v>294</v>
      </c>
    </row>
  </sheetData>
  <pageMargins left="0.7" right="0.7" top="0.75" bottom="0.75" header="0.3" footer="0.3"/>
  <pageSetup scale="6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6E60-84BC-48F8-81DA-B263E1778918}">
  <dimension ref="A2:J8"/>
  <sheetViews>
    <sheetView workbookViewId="0">
      <selection activeCell="B3" sqref="B3:F8"/>
    </sheetView>
  </sheetViews>
  <sheetFormatPr defaultRowHeight="14.5" x14ac:dyDescent="0.35"/>
  <sheetData>
    <row r="2" spans="1:10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</row>
    <row r="3" spans="1:10" x14ac:dyDescent="0.35">
      <c r="A3" t="s">
        <v>252</v>
      </c>
      <c r="B3" s="2">
        <f>'Ann 4'!C22/100000</f>
        <v>816.46559999999999</v>
      </c>
      <c r="C3" s="2">
        <f>'Ann 4'!D22/100000</f>
        <v>928.72961999999995</v>
      </c>
      <c r="D3" s="2">
        <f>'Ann 4'!E22/100000</f>
        <v>1000.17036</v>
      </c>
      <c r="E3" s="2">
        <f>'Ann 4'!F22/100000</f>
        <v>1071.6111000000001</v>
      </c>
      <c r="F3" s="2">
        <f>'Ann 4'!G22/100000</f>
        <v>1143.0518400000001</v>
      </c>
      <c r="G3" s="2">
        <f>'Ann 4'!H22/100000</f>
        <v>1214.4925799999999</v>
      </c>
      <c r="H3" s="2">
        <f>'Ann 4'!I22/100000</f>
        <v>1285.9333200000001</v>
      </c>
      <c r="I3" s="2">
        <f>'Ann 4'!J22/100000</f>
        <v>1357.3740600000001</v>
      </c>
      <c r="J3" s="2">
        <f>'Ann 4'!K22/100000</f>
        <v>1428.8148000000001</v>
      </c>
    </row>
    <row r="4" spans="1:10" x14ac:dyDescent="0.35">
      <c r="A4" t="s">
        <v>253</v>
      </c>
      <c r="B4" s="2">
        <f>'Ann 4'!C21/100000</f>
        <v>786.73983552000016</v>
      </c>
      <c r="C4" s="2">
        <f>'Ann 4'!D21/100000</f>
        <v>849.39728848000004</v>
      </c>
      <c r="D4" s="2">
        <f>'Ann 4'!E21/100000</f>
        <v>914.02853943999992</v>
      </c>
      <c r="E4" s="2">
        <f>'Ann 4'!F21/100000</f>
        <v>978.73774678000007</v>
      </c>
      <c r="F4" s="2">
        <f>'Ann 4'!G21/100000</f>
        <v>1043.5293058678001</v>
      </c>
      <c r="G4" s="2">
        <f>'Ann 4'!H21/100000</f>
        <v>1108.407862671718</v>
      </c>
      <c r="H4" s="2">
        <f>'Ann 4'!I21/100000</f>
        <v>1173.3783281601277</v>
      </c>
      <c r="I4" s="2">
        <f>'Ann 4'!J21/100000</f>
        <v>1238.4458935335349</v>
      </c>
      <c r="J4" s="2">
        <f>'Ann 4'!K21/100000</f>
        <v>1303.6160463375825</v>
      </c>
    </row>
    <row r="5" spans="1:10" x14ac:dyDescent="0.35">
      <c r="A5" t="s">
        <v>254</v>
      </c>
      <c r="B5" s="2">
        <f>B3-B4</f>
        <v>29.725764479999839</v>
      </c>
      <c r="C5" s="2">
        <f t="shared" ref="C5:J5" si="0">C3-C4</f>
        <v>79.332331519999912</v>
      </c>
      <c r="D5" s="2">
        <f t="shared" si="0"/>
        <v>86.141820560000042</v>
      </c>
      <c r="E5" s="2">
        <f t="shared" si="0"/>
        <v>92.873353220000013</v>
      </c>
      <c r="F5" s="2">
        <f t="shared" si="0"/>
        <v>99.522534132200008</v>
      </c>
      <c r="G5" s="2">
        <f t="shared" si="0"/>
        <v>106.08471732828184</v>
      </c>
      <c r="H5" s="2">
        <f t="shared" si="0"/>
        <v>112.5549918398724</v>
      </c>
      <c r="I5" s="2">
        <f t="shared" si="0"/>
        <v>118.9281664664652</v>
      </c>
      <c r="J5" s="2">
        <f t="shared" si="0"/>
        <v>125.19875366241763</v>
      </c>
    </row>
    <row r="6" spans="1:10" x14ac:dyDescent="0.35">
      <c r="A6" t="s">
        <v>255</v>
      </c>
      <c r="B6" s="2">
        <f>B5</f>
        <v>29.725764479999839</v>
      </c>
      <c r="C6" s="2">
        <f t="shared" ref="C6:J6" si="1">C5</f>
        <v>79.332331519999912</v>
      </c>
      <c r="D6" s="2">
        <f t="shared" si="1"/>
        <v>86.141820560000042</v>
      </c>
      <c r="E6" s="2">
        <f t="shared" si="1"/>
        <v>92.873353220000013</v>
      </c>
      <c r="F6" s="2">
        <f t="shared" si="1"/>
        <v>99.522534132200008</v>
      </c>
      <c r="G6" s="2">
        <f t="shared" si="1"/>
        <v>106.08471732828184</v>
      </c>
      <c r="H6" s="2">
        <f t="shared" si="1"/>
        <v>112.5549918398724</v>
      </c>
      <c r="I6" s="2">
        <f t="shared" si="1"/>
        <v>118.9281664664652</v>
      </c>
      <c r="J6" s="2">
        <f t="shared" si="1"/>
        <v>125.19875366241763</v>
      </c>
    </row>
    <row r="7" spans="1:10" x14ac:dyDescent="0.35">
      <c r="A7" t="s">
        <v>256</v>
      </c>
      <c r="B7" s="79">
        <f>'Ann 4'!C33/100000</f>
        <v>22.685003479999839</v>
      </c>
      <c r="C7" s="79">
        <f>'Ann 4'!D33/100000</f>
        <v>73.745052519999945</v>
      </c>
      <c r="D7" s="79">
        <f>'Ann 4'!E33/100000</f>
        <v>81.230859310000085</v>
      </c>
      <c r="E7" s="79">
        <f>'Ann 4'!F33/100000</f>
        <v>88.577495657499966</v>
      </c>
      <c r="F7" s="79">
        <f>'Ann 4'!G33/100000</f>
        <v>95.789262304075038</v>
      </c>
      <c r="G7" s="79">
        <f>'Ann 4'!H33/100000</f>
        <v>102.86895357437558</v>
      </c>
      <c r="H7" s="79">
        <f>'Ann 4'!I33/100000</f>
        <v>109.81802648905214</v>
      </c>
      <c r="I7" s="79">
        <f>'Ann 4'!J33/100000</f>
        <v>116.54845200426772</v>
      </c>
      <c r="J7" s="79">
        <f>'Ann 4'!K33/100000</f>
        <v>123.00016833694986</v>
      </c>
    </row>
    <row r="8" spans="1:10" x14ac:dyDescent="0.35">
      <c r="A8" t="s">
        <v>257</v>
      </c>
      <c r="B8" s="79">
        <f>'Ann 4'!C35/100000</f>
        <v>15.654502435999888</v>
      </c>
      <c r="C8" s="79">
        <f>'Ann 4'!D35/100000</f>
        <v>51.621536763999963</v>
      </c>
      <c r="D8" s="79">
        <f>'Ann 4'!E35/100000</f>
        <v>56.861601517000068</v>
      </c>
      <c r="E8" s="79">
        <f>'Ann 4'!F35/100000</f>
        <v>62.004246960249979</v>
      </c>
      <c r="F8" s="79">
        <f>'Ann 4'!G35/100000</f>
        <v>67.052483612852527</v>
      </c>
      <c r="G8" s="79">
        <f>'Ann 4'!H35/100000</f>
        <v>72.008267502062921</v>
      </c>
      <c r="H8" s="79">
        <f>'Ann 4'!I35/100000</f>
        <v>76.872618542336511</v>
      </c>
      <c r="I8" s="79">
        <f>'Ann 4'!J35/100000</f>
        <v>81.583916402987413</v>
      </c>
      <c r="J8" s="79">
        <f>'Ann 4'!K35/100000</f>
        <v>86.100117835864893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156</v>
      </c>
    </row>
    <row r="2" spans="1:11" x14ac:dyDescent="0.35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</row>
    <row r="3" spans="1:11" x14ac:dyDescent="0.35">
      <c r="A3" t="s">
        <v>157</v>
      </c>
      <c r="C3">
        <f>'Ann 4'!C22/300*270</f>
        <v>73481904</v>
      </c>
      <c r="D3">
        <f>'Ann 4'!D22/300*270</f>
        <v>83585665.799999997</v>
      </c>
      <c r="E3">
        <f>'Ann 4'!E22/300*270</f>
        <v>90015332.400000006</v>
      </c>
      <c r="F3">
        <f>'Ann 4'!F22/300*270</f>
        <v>96444999</v>
      </c>
      <c r="G3">
        <f>'Ann 4'!G22/300*270</f>
        <v>102874665.60000001</v>
      </c>
      <c r="H3">
        <f>'Ann 4'!H22/300*270</f>
        <v>109304332.19999997</v>
      </c>
      <c r="I3">
        <f>'Ann 4'!I22/300*270</f>
        <v>115733998.80000001</v>
      </c>
      <c r="J3">
        <f>'Ann 4'!J22/300*270</f>
        <v>122163665.40000001</v>
      </c>
      <c r="K3">
        <f>'Ann 4'!K22/300*270</f>
        <v>128593332</v>
      </c>
    </row>
    <row r="4" spans="1:11" x14ac:dyDescent="0.35">
      <c r="A4" t="s">
        <v>158</v>
      </c>
      <c r="C4">
        <v>5000000</v>
      </c>
    </row>
    <row r="5" spans="1:11" x14ac:dyDescent="0.35">
      <c r="A5" t="s">
        <v>159</v>
      </c>
      <c r="C5">
        <v>21492978</v>
      </c>
    </row>
    <row r="7" spans="1:11" x14ac:dyDescent="0.35">
      <c r="A7" t="s">
        <v>160</v>
      </c>
      <c r="C7">
        <f>'Ann 3'!G15</f>
        <v>2875000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dimension ref="A1:C42"/>
  <sheetViews>
    <sheetView topLeftCell="A18" workbookViewId="0">
      <selection activeCell="C40" sqref="C40"/>
    </sheetView>
  </sheetViews>
  <sheetFormatPr defaultRowHeight="14.5" x14ac:dyDescent="0.35"/>
  <cols>
    <col min="2" max="2" width="44.90625" customWidth="1"/>
    <col min="3" max="3" width="13.26953125" customWidth="1"/>
  </cols>
  <sheetData>
    <row r="1" spans="1:3" x14ac:dyDescent="0.35">
      <c r="A1" s="22" t="s">
        <v>295</v>
      </c>
    </row>
    <row r="3" spans="1:3" x14ac:dyDescent="0.35">
      <c r="A3" s="22" t="s">
        <v>0</v>
      </c>
    </row>
    <row r="5" spans="1:3" x14ac:dyDescent="0.35">
      <c r="A5" s="30" t="s">
        <v>1</v>
      </c>
      <c r="B5" s="31"/>
      <c r="C5" s="32"/>
    </row>
    <row r="6" spans="1:3" ht="29" x14ac:dyDescent="0.35">
      <c r="A6" s="33" t="s">
        <v>2</v>
      </c>
      <c r="B6" s="33" t="s">
        <v>3</v>
      </c>
      <c r="C6" s="34" t="s">
        <v>4</v>
      </c>
    </row>
    <row r="7" spans="1:3" x14ac:dyDescent="0.35">
      <c r="A7" s="7">
        <v>1</v>
      </c>
      <c r="B7" s="9" t="s">
        <v>6</v>
      </c>
      <c r="C7" s="6"/>
    </row>
    <row r="8" spans="1:3" x14ac:dyDescent="0.35">
      <c r="A8" s="7" t="s">
        <v>5</v>
      </c>
      <c r="B8" s="9" t="s">
        <v>7</v>
      </c>
      <c r="C8" s="67">
        <v>0</v>
      </c>
    </row>
    <row r="9" spans="1:3" x14ac:dyDescent="0.35">
      <c r="A9" s="7"/>
      <c r="B9" s="9" t="s">
        <v>8</v>
      </c>
      <c r="C9" s="67">
        <f>SUM(C8)</f>
        <v>0</v>
      </c>
    </row>
    <row r="10" spans="1:3" x14ac:dyDescent="0.35">
      <c r="A10" s="7"/>
      <c r="B10" s="9"/>
      <c r="C10" s="6"/>
    </row>
    <row r="11" spans="1:3" x14ac:dyDescent="0.35">
      <c r="A11" s="7">
        <v>2</v>
      </c>
      <c r="B11" s="9" t="s">
        <v>185</v>
      </c>
      <c r="C11" s="6">
        <v>10.8</v>
      </c>
    </row>
    <row r="12" spans="1:3" x14ac:dyDescent="0.35">
      <c r="A12" s="7" t="s">
        <v>5</v>
      </c>
      <c r="B12" s="9" t="s">
        <v>8</v>
      </c>
      <c r="C12" s="6">
        <f>C11</f>
        <v>10.8</v>
      </c>
    </row>
    <row r="13" spans="1:3" x14ac:dyDescent="0.35">
      <c r="A13" s="7"/>
      <c r="B13" s="9"/>
      <c r="C13" s="6"/>
    </row>
    <row r="14" spans="1:3" x14ac:dyDescent="0.35">
      <c r="A14" s="7">
        <v>3</v>
      </c>
      <c r="B14" s="9" t="s">
        <v>9</v>
      </c>
      <c r="C14" s="6"/>
    </row>
    <row r="15" spans="1:3" x14ac:dyDescent="0.35">
      <c r="A15" s="7" t="s">
        <v>5</v>
      </c>
      <c r="B15" s="9" t="s">
        <v>9</v>
      </c>
      <c r="C15" s="26">
        <v>0</v>
      </c>
    </row>
    <row r="16" spans="1:3" x14ac:dyDescent="0.35">
      <c r="A16" s="7"/>
      <c r="B16" s="9" t="s">
        <v>8</v>
      </c>
      <c r="C16" s="26">
        <f>C15</f>
        <v>0</v>
      </c>
    </row>
    <row r="17" spans="1:3" x14ac:dyDescent="0.35">
      <c r="A17" s="7"/>
      <c r="B17" s="9"/>
      <c r="C17" s="6"/>
    </row>
    <row r="18" spans="1:3" x14ac:dyDescent="0.35">
      <c r="A18" s="7">
        <v>4</v>
      </c>
      <c r="B18" s="9" t="s">
        <v>10</v>
      </c>
      <c r="C18" s="6"/>
    </row>
    <row r="19" spans="1:3" x14ac:dyDescent="0.35">
      <c r="A19" s="7" t="s">
        <v>5</v>
      </c>
      <c r="B19" s="9" t="s">
        <v>11</v>
      </c>
      <c r="C19" s="26">
        <v>15.45</v>
      </c>
    </row>
    <row r="20" spans="1:3" x14ac:dyDescent="0.35">
      <c r="A20" s="7"/>
      <c r="B20" s="9" t="s">
        <v>8</v>
      </c>
      <c r="C20" s="27">
        <f>C19</f>
        <v>15.45</v>
      </c>
    </row>
    <row r="21" spans="1:3" x14ac:dyDescent="0.35">
      <c r="A21" s="7"/>
      <c r="B21" s="9"/>
      <c r="C21" s="6"/>
    </row>
    <row r="22" spans="1:3" x14ac:dyDescent="0.35">
      <c r="A22" s="7">
        <v>5</v>
      </c>
      <c r="B22" s="9" t="s">
        <v>12</v>
      </c>
      <c r="C22" s="6"/>
    </row>
    <row r="23" spans="1:3" x14ac:dyDescent="0.35">
      <c r="A23" s="7" t="s">
        <v>5</v>
      </c>
      <c r="B23" s="9" t="s">
        <v>13</v>
      </c>
      <c r="C23" s="67">
        <v>0</v>
      </c>
    </row>
    <row r="24" spans="1:3" x14ac:dyDescent="0.35">
      <c r="A24" s="7"/>
      <c r="B24" s="9"/>
      <c r="C24" s="67"/>
    </row>
    <row r="25" spans="1:3" x14ac:dyDescent="0.35">
      <c r="A25" s="7">
        <v>6</v>
      </c>
      <c r="B25" s="9" t="s">
        <v>14</v>
      </c>
      <c r="C25" s="67">
        <v>10</v>
      </c>
    </row>
    <row r="26" spans="1:3" x14ac:dyDescent="0.35">
      <c r="A26" s="7"/>
      <c r="B26" s="9"/>
      <c r="C26" s="67"/>
    </row>
    <row r="27" spans="1:3" x14ac:dyDescent="0.35">
      <c r="A27" s="7">
        <v>7</v>
      </c>
      <c r="B27" s="9" t="s">
        <v>15</v>
      </c>
      <c r="C27" s="67"/>
    </row>
    <row r="28" spans="1:3" x14ac:dyDescent="0.35">
      <c r="A28" s="7" t="s">
        <v>5</v>
      </c>
      <c r="B28" s="9" t="s">
        <v>16</v>
      </c>
      <c r="C28" s="67">
        <v>0</v>
      </c>
    </row>
    <row r="29" spans="1:3" x14ac:dyDescent="0.35">
      <c r="A29" s="7"/>
      <c r="B29" s="9" t="s">
        <v>8</v>
      </c>
      <c r="C29" s="67"/>
    </row>
    <row r="30" spans="1:3" x14ac:dyDescent="0.35">
      <c r="A30" s="7"/>
      <c r="B30" s="9"/>
      <c r="C30" s="67"/>
    </row>
    <row r="31" spans="1:3" x14ac:dyDescent="0.35">
      <c r="A31" s="7">
        <v>8</v>
      </c>
      <c r="B31" s="9" t="s">
        <v>17</v>
      </c>
      <c r="C31" s="6"/>
    </row>
    <row r="32" spans="1:3" ht="29" x14ac:dyDescent="0.35">
      <c r="A32" s="7"/>
      <c r="B32" s="10" t="s">
        <v>18</v>
      </c>
      <c r="C32" s="6"/>
    </row>
    <row r="33" spans="1:3" x14ac:dyDescent="0.35">
      <c r="A33" s="7" t="s">
        <v>5</v>
      </c>
      <c r="B33" s="9" t="s">
        <v>19</v>
      </c>
      <c r="C33" s="67">
        <v>0.75</v>
      </c>
    </row>
    <row r="34" spans="1:3" x14ac:dyDescent="0.35">
      <c r="A34" s="7" t="s">
        <v>20</v>
      </c>
      <c r="B34" s="9" t="s">
        <v>21</v>
      </c>
      <c r="C34" s="67">
        <v>0</v>
      </c>
    </row>
    <row r="35" spans="1:3" x14ac:dyDescent="0.35">
      <c r="A35" s="7"/>
      <c r="B35" s="9" t="s">
        <v>8</v>
      </c>
      <c r="C35" s="67">
        <f>SUM(C33:C34)</f>
        <v>0.75</v>
      </c>
    </row>
    <row r="36" spans="1:3" x14ac:dyDescent="0.35">
      <c r="A36" s="7"/>
      <c r="B36" s="9"/>
      <c r="C36" s="67"/>
    </row>
    <row r="37" spans="1:3" x14ac:dyDescent="0.35">
      <c r="A37" s="7">
        <v>9</v>
      </c>
      <c r="B37" s="9" t="s">
        <v>184</v>
      </c>
      <c r="C37" s="67">
        <v>2.5</v>
      </c>
    </row>
    <row r="38" spans="1:3" x14ac:dyDescent="0.35">
      <c r="A38" s="7"/>
      <c r="B38" s="9"/>
      <c r="C38" s="6"/>
    </row>
    <row r="39" spans="1:3" x14ac:dyDescent="0.35">
      <c r="A39" s="8"/>
      <c r="B39" s="11" t="s">
        <v>22</v>
      </c>
      <c r="C39" s="28">
        <f>C35+C28+C25+C20+C16+C23+C37+C12</f>
        <v>39.5</v>
      </c>
    </row>
    <row r="40" spans="1:3" x14ac:dyDescent="0.35">
      <c r="A40" s="1"/>
    </row>
    <row r="41" spans="1:3" x14ac:dyDescent="0.35">
      <c r="A41" s="1"/>
    </row>
    <row r="42" spans="1:3" x14ac:dyDescent="0.35">
      <c r="A4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8"/>
  <sheetViews>
    <sheetView workbookViewId="0">
      <selection activeCell="E4" sqref="E4"/>
    </sheetView>
  </sheetViews>
  <sheetFormatPr defaultRowHeight="14.5" x14ac:dyDescent="0.35"/>
  <cols>
    <col min="2" max="2" width="22.08984375" customWidth="1"/>
    <col min="3" max="3" width="18.81640625" bestFit="1" customWidth="1"/>
  </cols>
  <sheetData>
    <row r="1" spans="1:4" x14ac:dyDescent="0.35">
      <c r="A1" s="22" t="s">
        <v>23</v>
      </c>
    </row>
    <row r="3" spans="1:4" x14ac:dyDescent="0.35">
      <c r="A3" s="35" t="s">
        <v>24</v>
      </c>
      <c r="B3" s="31" t="s">
        <v>25</v>
      </c>
      <c r="C3" s="32" t="s">
        <v>4</v>
      </c>
    </row>
    <row r="4" spans="1:4" x14ac:dyDescent="0.35">
      <c r="A4" s="14">
        <v>1</v>
      </c>
      <c r="B4" s="5" t="s">
        <v>26</v>
      </c>
      <c r="C4" s="27">
        <v>3.95</v>
      </c>
      <c r="D4" s="43"/>
    </row>
    <row r="5" spans="1:4" x14ac:dyDescent="0.35">
      <c r="A5" s="14">
        <v>2</v>
      </c>
      <c r="B5" s="5" t="s">
        <v>27</v>
      </c>
      <c r="C5" s="27">
        <v>0</v>
      </c>
      <c r="D5" s="2"/>
    </row>
    <row r="6" spans="1:4" x14ac:dyDescent="0.35">
      <c r="A6" s="14">
        <v>3</v>
      </c>
      <c r="B6" s="5" t="s">
        <v>28</v>
      </c>
      <c r="C6" s="27">
        <f>C8-C4-C7</f>
        <v>25.549999999999997</v>
      </c>
    </row>
    <row r="7" spans="1:4" x14ac:dyDescent="0.35">
      <c r="A7" s="14">
        <v>4</v>
      </c>
      <c r="B7" s="5" t="s">
        <v>29</v>
      </c>
      <c r="C7" s="67">
        <v>10</v>
      </c>
      <c r="D7" s="78"/>
    </row>
    <row r="8" spans="1:4" x14ac:dyDescent="0.35">
      <c r="A8" s="13"/>
      <c r="B8" s="4" t="s">
        <v>8</v>
      </c>
      <c r="C8" s="36">
        <f>'Ann 1'!C39</f>
        <v>39.5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G18"/>
  <sheetViews>
    <sheetView workbookViewId="0">
      <selection activeCell="E12" sqref="E12"/>
    </sheetView>
  </sheetViews>
  <sheetFormatPr defaultRowHeight="14.5" x14ac:dyDescent="0.35"/>
  <cols>
    <col min="1" max="1" width="3.6328125" customWidth="1"/>
    <col min="2" max="2" width="26.08984375" customWidth="1"/>
    <col min="4" max="4" width="12.7265625" bestFit="1" customWidth="1"/>
    <col min="6" max="6" width="10.54296875" customWidth="1"/>
    <col min="7" max="7" width="11" bestFit="1" customWidth="1"/>
  </cols>
  <sheetData>
    <row r="1" spans="1:7" x14ac:dyDescent="0.35">
      <c r="A1" s="22" t="s">
        <v>30</v>
      </c>
    </row>
    <row r="3" spans="1:7" x14ac:dyDescent="0.35">
      <c r="A3" s="37" t="s">
        <v>31</v>
      </c>
      <c r="B3" s="38"/>
      <c r="C3" s="38"/>
      <c r="D3" s="38"/>
      <c r="E3" s="38"/>
      <c r="F3" s="38"/>
      <c r="G3" s="39"/>
    </row>
    <row r="4" spans="1:7" x14ac:dyDescent="0.35">
      <c r="A4" s="35" t="s">
        <v>32</v>
      </c>
      <c r="B4" s="31"/>
      <c r="C4" s="31"/>
      <c r="D4" s="31"/>
      <c r="E4" s="31"/>
      <c r="F4" s="31"/>
      <c r="G4" s="32" t="s">
        <v>35</v>
      </c>
    </row>
    <row r="5" spans="1:7" x14ac:dyDescent="0.35">
      <c r="A5" s="14">
        <v>1</v>
      </c>
      <c r="B5" s="5" t="s">
        <v>186</v>
      </c>
      <c r="C5" s="5"/>
      <c r="D5" s="40"/>
      <c r="E5" s="40"/>
      <c r="F5" s="17"/>
      <c r="G5" s="18">
        <v>660000</v>
      </c>
    </row>
    <row r="6" spans="1:7" x14ac:dyDescent="0.35">
      <c r="A6" s="14">
        <v>2</v>
      </c>
      <c r="B6" s="5" t="s">
        <v>187</v>
      </c>
      <c r="C6" s="5"/>
      <c r="D6" s="40"/>
      <c r="E6" s="40"/>
      <c r="F6" s="17"/>
      <c r="G6" s="18">
        <v>420000</v>
      </c>
    </row>
    <row r="7" spans="1:7" s="22" customFormat="1" x14ac:dyDescent="0.35">
      <c r="A7" s="19" t="s">
        <v>36</v>
      </c>
      <c r="B7" s="20"/>
      <c r="C7" s="20"/>
      <c r="D7" s="20"/>
      <c r="E7" s="20"/>
      <c r="F7" s="20"/>
      <c r="G7" s="21">
        <f>SUM(G5:G6)</f>
        <v>1080000</v>
      </c>
    </row>
    <row r="8" spans="1:7" x14ac:dyDescent="0.35">
      <c r="A8" s="14"/>
      <c r="B8" s="5"/>
      <c r="C8" s="5"/>
      <c r="D8" s="5"/>
      <c r="E8" s="5"/>
      <c r="F8" s="5"/>
      <c r="G8" s="6"/>
    </row>
    <row r="9" spans="1:7" x14ac:dyDescent="0.35">
      <c r="A9" s="35" t="s">
        <v>37</v>
      </c>
      <c r="B9" s="31"/>
      <c r="C9" s="31"/>
      <c r="D9" s="31" t="s">
        <v>33</v>
      </c>
      <c r="E9" s="31" t="s">
        <v>34</v>
      </c>
      <c r="F9" s="31"/>
      <c r="G9" s="32" t="s">
        <v>35</v>
      </c>
    </row>
    <row r="10" spans="1:7" x14ac:dyDescent="0.35">
      <c r="A10" s="14">
        <v>1</v>
      </c>
      <c r="B10" s="5" t="s">
        <v>188</v>
      </c>
      <c r="C10" s="5"/>
      <c r="D10" s="40" t="s">
        <v>189</v>
      </c>
      <c r="E10" s="40">
        <v>3</v>
      </c>
      <c r="F10" s="17"/>
      <c r="G10" s="18">
        <v>1445000</v>
      </c>
    </row>
    <row r="11" spans="1:7" x14ac:dyDescent="0.35">
      <c r="A11" s="14">
        <v>2</v>
      </c>
      <c r="B11" s="5" t="s">
        <v>190</v>
      </c>
      <c r="C11" s="5"/>
      <c r="D11" s="40" t="s">
        <v>191</v>
      </c>
      <c r="E11" s="40">
        <v>1</v>
      </c>
      <c r="F11" s="17"/>
      <c r="G11" s="18">
        <v>100000</v>
      </c>
    </row>
    <row r="12" spans="1:7" x14ac:dyDescent="0.35">
      <c r="A12" s="14">
        <v>3</v>
      </c>
      <c r="B12" s="5" t="s">
        <v>192</v>
      </c>
      <c r="C12" s="5"/>
      <c r="D12" s="40"/>
      <c r="E12" s="40"/>
      <c r="F12" s="17"/>
      <c r="G12" s="18">
        <v>250000</v>
      </c>
    </row>
    <row r="13" spans="1:7" s="22" customFormat="1" x14ac:dyDescent="0.35">
      <c r="A13" s="19" t="s">
        <v>38</v>
      </c>
      <c r="B13" s="20"/>
      <c r="C13" s="20"/>
      <c r="D13" s="20"/>
      <c r="E13" s="20"/>
      <c r="F13" s="20"/>
      <c r="G13" s="21">
        <f>SUM(G10:G12)</f>
        <v>1795000</v>
      </c>
    </row>
    <row r="14" spans="1:7" x14ac:dyDescent="0.35">
      <c r="A14" s="14"/>
      <c r="B14" s="5"/>
      <c r="C14" s="5"/>
      <c r="D14" s="5"/>
      <c r="E14" s="5"/>
      <c r="F14" s="5"/>
      <c r="G14" s="6"/>
    </row>
    <row r="15" spans="1:7" s="22" customFormat="1" x14ac:dyDescent="0.35">
      <c r="A15" s="19" t="s">
        <v>39</v>
      </c>
      <c r="B15" s="20"/>
      <c r="C15" s="20"/>
      <c r="D15" s="20"/>
      <c r="E15" s="20"/>
      <c r="F15" s="20"/>
      <c r="G15" s="21">
        <f>G13+G7</f>
        <v>2875000</v>
      </c>
    </row>
    <row r="16" spans="1:7" x14ac:dyDescent="0.35">
      <c r="G16" s="24"/>
    </row>
    <row r="17" spans="1:7" x14ac:dyDescent="0.35">
      <c r="A17" t="s">
        <v>193</v>
      </c>
      <c r="G17" s="16"/>
    </row>
    <row r="18" spans="1:7" x14ac:dyDescent="0.35">
      <c r="G18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K46"/>
  <sheetViews>
    <sheetView topLeftCell="B6" workbookViewId="0">
      <selection activeCell="B27" sqref="B27"/>
    </sheetView>
  </sheetViews>
  <sheetFormatPr defaultRowHeight="14.5" x14ac:dyDescent="0.35"/>
  <cols>
    <col min="2" max="2" width="54.1796875" bestFit="1" customWidth="1"/>
    <col min="3" max="11" width="15.6328125" bestFit="1" customWidth="1"/>
  </cols>
  <sheetData>
    <row r="1" spans="1:11" x14ac:dyDescent="0.35">
      <c r="A1" s="22" t="s">
        <v>40</v>
      </c>
    </row>
    <row r="3" spans="1:11" x14ac:dyDescent="0.35">
      <c r="A3" s="38" t="s">
        <v>41</v>
      </c>
      <c r="B3" s="38" t="s">
        <v>42</v>
      </c>
      <c r="C3" s="92" t="s">
        <v>52</v>
      </c>
      <c r="D3" s="92"/>
      <c r="E3" s="92"/>
      <c r="F3" s="92"/>
      <c r="G3" s="92"/>
      <c r="H3" s="92"/>
      <c r="I3" s="92"/>
      <c r="J3" s="92"/>
      <c r="K3" s="92"/>
    </row>
    <row r="4" spans="1:11" x14ac:dyDescent="0.35">
      <c r="A4" s="38"/>
      <c r="B4" s="38"/>
      <c r="C4" s="38" t="s">
        <v>43</v>
      </c>
      <c r="D4" s="38" t="s">
        <v>44</v>
      </c>
      <c r="E4" s="38" t="s">
        <v>45</v>
      </c>
      <c r="F4" s="38" t="s">
        <v>46</v>
      </c>
      <c r="G4" s="38" t="s">
        <v>47</v>
      </c>
      <c r="H4" s="38" t="s">
        <v>48</v>
      </c>
      <c r="I4" s="38" t="s">
        <v>49</v>
      </c>
      <c r="J4" s="38" t="s">
        <v>50</v>
      </c>
      <c r="K4" s="38" t="s">
        <v>51</v>
      </c>
    </row>
    <row r="5" spans="1:11" x14ac:dyDescent="0.35">
      <c r="A5" s="12"/>
      <c r="B5" s="12" t="s">
        <v>53</v>
      </c>
      <c r="C5" s="12">
        <v>12</v>
      </c>
      <c r="D5" s="12">
        <v>12</v>
      </c>
      <c r="E5" s="12">
        <v>12</v>
      </c>
      <c r="F5" s="12">
        <v>12</v>
      </c>
      <c r="G5" s="12">
        <v>12</v>
      </c>
      <c r="H5" s="12">
        <v>12</v>
      </c>
      <c r="I5" s="12">
        <v>12</v>
      </c>
      <c r="J5" s="12">
        <v>12</v>
      </c>
      <c r="K5" s="12">
        <v>12</v>
      </c>
    </row>
    <row r="6" spans="1:1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35">
      <c r="A7" s="12"/>
      <c r="B7" s="12" t="s">
        <v>217</v>
      </c>
      <c r="C7" s="29">
        <f>Budgets!B5*1.1*Budgets!$D$18</f>
        <v>57479178.240000002</v>
      </c>
      <c r="D7" s="29">
        <f>Budgets!C5*1.1*Budgets!$D$18</f>
        <v>62269109.760000005</v>
      </c>
      <c r="E7" s="29">
        <f>Budgets!D5*1.1*Budgets!$D$18</f>
        <v>67059041.280000001</v>
      </c>
      <c r="F7" s="29">
        <f>Budgets!E5*1.1*Budgets!$D$18</f>
        <v>71848972.800000012</v>
      </c>
      <c r="G7" s="29">
        <f>Budgets!F5*1.1*Budgets!$D$18</f>
        <v>76638904.320000008</v>
      </c>
      <c r="H7" s="29">
        <f>Budgets!G5*1.1*Budgets!$D$18</f>
        <v>81428835.840000004</v>
      </c>
      <c r="I7" s="29">
        <f>Budgets!H5*1.1*Budgets!$D$18</f>
        <v>86218767.360000014</v>
      </c>
      <c r="J7" s="29">
        <f>Budgets!I5*1.1*Budgets!$D$18</f>
        <v>91008698.88000001</v>
      </c>
      <c r="K7" s="29">
        <f>Budgets!J5*1.1*Budgets!$D$18</f>
        <v>95798630.400000006</v>
      </c>
    </row>
    <row r="8" spans="1:11" x14ac:dyDescent="0.35">
      <c r="A8" s="12"/>
      <c r="B8" s="12" t="s">
        <v>219</v>
      </c>
      <c r="C8" s="29">
        <f t="shared" ref="C8:K8" si="0">100000+C44</f>
        <v>1240000</v>
      </c>
      <c r="D8" s="29">
        <f t="shared" si="0"/>
        <v>1097500</v>
      </c>
      <c r="E8" s="29">
        <f t="shared" si="0"/>
        <v>1147375</v>
      </c>
      <c r="F8" s="29">
        <f t="shared" si="0"/>
        <v>1199743.75</v>
      </c>
      <c r="G8" s="29">
        <f t="shared" si="0"/>
        <v>1254730.9375</v>
      </c>
      <c r="H8" s="29">
        <f t="shared" si="0"/>
        <v>1312467.484375</v>
      </c>
      <c r="I8" s="29">
        <f t="shared" si="0"/>
        <v>1373090.8585937503</v>
      </c>
      <c r="J8" s="29">
        <f t="shared" si="0"/>
        <v>1436745.4015234378</v>
      </c>
      <c r="K8" s="29">
        <f t="shared" si="0"/>
        <v>1503582.6715996095</v>
      </c>
    </row>
    <row r="9" spans="1:11" x14ac:dyDescent="0.35">
      <c r="A9" s="12"/>
      <c r="B9" s="12" t="s">
        <v>224</v>
      </c>
      <c r="C9" s="29">
        <f>C7*5%</f>
        <v>2873958.9120000005</v>
      </c>
      <c r="D9" s="29">
        <f t="shared" ref="D9:K9" si="1">D7*5%</f>
        <v>3113455.4880000004</v>
      </c>
      <c r="E9" s="29">
        <f t="shared" si="1"/>
        <v>3352952.0640000002</v>
      </c>
      <c r="F9" s="29">
        <f t="shared" si="1"/>
        <v>3592448.6400000006</v>
      </c>
      <c r="G9" s="29">
        <f t="shared" si="1"/>
        <v>3831945.2160000005</v>
      </c>
      <c r="H9" s="29">
        <f t="shared" si="1"/>
        <v>4071441.7920000004</v>
      </c>
      <c r="I9" s="29">
        <f t="shared" si="1"/>
        <v>4310938.3680000007</v>
      </c>
      <c r="J9" s="29">
        <f t="shared" si="1"/>
        <v>4550434.9440000011</v>
      </c>
      <c r="K9" s="29">
        <f t="shared" si="1"/>
        <v>4789931.5200000005</v>
      </c>
    </row>
    <row r="10" spans="1:11" x14ac:dyDescent="0.35">
      <c r="A10" s="12"/>
      <c r="B10" s="12" t="s">
        <v>225</v>
      </c>
      <c r="C10" s="29">
        <f>SUM(C7:C9)</f>
        <v>61593137.152000003</v>
      </c>
      <c r="D10" s="29">
        <f t="shared" ref="D10:K10" si="2">SUM(D7:D9)</f>
        <v>66480065.248000003</v>
      </c>
      <c r="E10" s="29">
        <f t="shared" si="2"/>
        <v>71559368.343999997</v>
      </c>
      <c r="F10" s="29">
        <f t="shared" si="2"/>
        <v>76641165.190000013</v>
      </c>
      <c r="G10" s="29">
        <f t="shared" si="2"/>
        <v>81725580.473500013</v>
      </c>
      <c r="H10" s="29">
        <f t="shared" si="2"/>
        <v>86812745.116374999</v>
      </c>
      <c r="I10" s="29">
        <f t="shared" si="2"/>
        <v>91902796.586593762</v>
      </c>
      <c r="J10" s="29">
        <f t="shared" si="2"/>
        <v>96995879.225523457</v>
      </c>
      <c r="K10" s="29">
        <f t="shared" si="2"/>
        <v>102092144.59159961</v>
      </c>
    </row>
    <row r="11" spans="1:11" x14ac:dyDescent="0.35">
      <c r="A11" s="12"/>
      <c r="B11" s="12" t="s">
        <v>226</v>
      </c>
      <c r="C11" s="29">
        <v>0</v>
      </c>
      <c r="D11" s="29">
        <f>C12</f>
        <v>653172.47999999672</v>
      </c>
      <c r="E11" s="29">
        <f t="shared" ref="E11:K11" si="3">D12</f>
        <v>1360775.9999999963</v>
      </c>
      <c r="F11" s="29">
        <f t="shared" si="3"/>
        <v>2122810.5599999987</v>
      </c>
      <c r="G11" s="29">
        <f t="shared" si="3"/>
        <v>2939276.1600000039</v>
      </c>
      <c r="H11" s="29">
        <f t="shared" si="3"/>
        <v>3810172.8000000119</v>
      </c>
      <c r="I11" s="29">
        <f t="shared" si="3"/>
        <v>4735500.4800000042</v>
      </c>
      <c r="J11" s="29">
        <f t="shared" si="3"/>
        <v>5715259.1999999993</v>
      </c>
      <c r="K11" s="29">
        <f t="shared" si="3"/>
        <v>6749448.9599999972</v>
      </c>
    </row>
    <row r="12" spans="1:11" x14ac:dyDescent="0.35">
      <c r="A12" s="12"/>
      <c r="B12" s="12" t="s">
        <v>227</v>
      </c>
      <c r="C12" s="29">
        <f>Budgets!B25*10</f>
        <v>653172.47999999672</v>
      </c>
      <c r="D12" s="29">
        <f>Budgets!C25*10</f>
        <v>1360775.9999999963</v>
      </c>
      <c r="E12" s="29">
        <f>Budgets!D25*10</f>
        <v>2122810.5599999987</v>
      </c>
      <c r="F12" s="29">
        <f>Budgets!E25*10</f>
        <v>2939276.1600000039</v>
      </c>
      <c r="G12" s="29">
        <f>Budgets!F25*10</f>
        <v>3810172.8000000119</v>
      </c>
      <c r="H12" s="29">
        <f>Budgets!G25*10</f>
        <v>4735500.4800000042</v>
      </c>
      <c r="I12" s="29">
        <f>Budgets!H25*10</f>
        <v>5715259.1999999993</v>
      </c>
      <c r="J12" s="29">
        <f>Budgets!I25*10</f>
        <v>6749448.9599999972</v>
      </c>
      <c r="K12" s="29">
        <f>Budgets!J25*10</f>
        <v>7838069.7599999979</v>
      </c>
    </row>
    <row r="13" spans="1:11" x14ac:dyDescent="0.35">
      <c r="A13" s="12"/>
      <c r="B13" s="12" t="s">
        <v>230</v>
      </c>
      <c r="C13" s="29">
        <f>C10+C11-C12</f>
        <v>60939964.672000006</v>
      </c>
      <c r="D13" s="29">
        <f t="shared" ref="D13:K13" si="4">D10+D11-D12</f>
        <v>65772461.728</v>
      </c>
      <c r="E13" s="29">
        <f t="shared" si="4"/>
        <v>70797333.783999994</v>
      </c>
      <c r="F13" s="29">
        <f t="shared" si="4"/>
        <v>75824699.590000004</v>
      </c>
      <c r="G13" s="29">
        <f t="shared" si="4"/>
        <v>80854683.833499998</v>
      </c>
      <c r="H13" s="29">
        <f t="shared" si="4"/>
        <v>85887417.436375007</v>
      </c>
      <c r="I13" s="29">
        <f t="shared" si="4"/>
        <v>90923037.866593763</v>
      </c>
      <c r="J13" s="29">
        <f t="shared" si="4"/>
        <v>95961689.465523466</v>
      </c>
      <c r="K13" s="29">
        <f t="shared" si="4"/>
        <v>101003523.7915996</v>
      </c>
    </row>
    <row r="14" spans="1:11" x14ac:dyDescent="0.35">
      <c r="A14" s="12"/>
      <c r="B14" s="12"/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35">
      <c r="A15" s="12"/>
      <c r="B15" s="12"/>
      <c r="C15" s="29"/>
      <c r="D15" s="29"/>
      <c r="E15" s="29"/>
      <c r="F15" s="29"/>
      <c r="G15" s="29"/>
      <c r="H15" s="29"/>
      <c r="I15" s="29"/>
      <c r="J15" s="29"/>
      <c r="K15" s="29"/>
    </row>
    <row r="16" spans="1:11" x14ac:dyDescent="0.35">
      <c r="A16" s="12"/>
      <c r="B16" s="12" t="s">
        <v>55</v>
      </c>
      <c r="C16" s="29">
        <f>'Ann 8'!E12</f>
        <v>1368000</v>
      </c>
      <c r="D16" s="29">
        <f>1.06*C16</f>
        <v>1450080</v>
      </c>
      <c r="E16" s="29">
        <f t="shared" ref="E16:K16" si="5">1.06*D16</f>
        <v>1537084.8</v>
      </c>
      <c r="F16" s="29">
        <f t="shared" si="5"/>
        <v>1629309.888</v>
      </c>
      <c r="G16" s="29">
        <f t="shared" si="5"/>
        <v>1727068.4812800002</v>
      </c>
      <c r="H16" s="29">
        <f t="shared" si="5"/>
        <v>1830692.5901568003</v>
      </c>
      <c r="I16" s="29">
        <f t="shared" si="5"/>
        <v>1940534.1455662085</v>
      </c>
      <c r="J16" s="29">
        <f t="shared" si="5"/>
        <v>2056966.1943001812</v>
      </c>
      <c r="K16" s="29">
        <f t="shared" si="5"/>
        <v>2180384.1659581922</v>
      </c>
    </row>
    <row r="17" spans="1:11" x14ac:dyDescent="0.35">
      <c r="A17" s="12"/>
      <c r="B17" s="12" t="s">
        <v>172</v>
      </c>
      <c r="C17" s="29">
        <v>200000</v>
      </c>
      <c r="D17" s="29">
        <f>C17*1.02</f>
        <v>204000</v>
      </c>
      <c r="E17" s="29">
        <f t="shared" ref="E17:K17" si="6">D17*1.02</f>
        <v>208080</v>
      </c>
      <c r="F17" s="29">
        <f t="shared" si="6"/>
        <v>212241.6</v>
      </c>
      <c r="G17" s="29">
        <f t="shared" si="6"/>
        <v>216486.432</v>
      </c>
      <c r="H17" s="29">
        <f t="shared" si="6"/>
        <v>220816.16064000002</v>
      </c>
      <c r="I17" s="29">
        <f t="shared" si="6"/>
        <v>225232.48385280001</v>
      </c>
      <c r="J17" s="29">
        <f t="shared" si="6"/>
        <v>229737.13352985602</v>
      </c>
      <c r="K17" s="29">
        <f t="shared" si="6"/>
        <v>234331.87620045315</v>
      </c>
    </row>
    <row r="18" spans="1:11" x14ac:dyDescent="0.35">
      <c r="A18" s="12"/>
      <c r="B18" s="12" t="s">
        <v>231</v>
      </c>
      <c r="C18" s="29">
        <f>Budgets!B6*2.5</f>
        <v>16166018.880000001</v>
      </c>
      <c r="D18" s="29">
        <f>Budgets!C6*2.5</f>
        <v>17513187.120000001</v>
      </c>
      <c r="E18" s="29">
        <f>Budgets!D6*2.5</f>
        <v>18860355.359999999</v>
      </c>
      <c r="F18" s="29">
        <f>Budgets!E6*2.5</f>
        <v>20207523.599999998</v>
      </c>
      <c r="G18" s="29">
        <f>Budgets!F6*2.5</f>
        <v>21554691.84</v>
      </c>
      <c r="H18" s="29">
        <f>Budgets!G6*2.5</f>
        <v>22901860.079999998</v>
      </c>
      <c r="I18" s="29">
        <f>Budgets!H6*2.5</f>
        <v>24249028.320000004</v>
      </c>
      <c r="J18" s="29">
        <f>Budgets!I6*2.5</f>
        <v>25596196.559999999</v>
      </c>
      <c r="K18" s="29">
        <f>Budgets!J6*2.5</f>
        <v>26943364.800000001</v>
      </c>
    </row>
    <row r="19" spans="1:11" x14ac:dyDescent="0.35">
      <c r="A19" s="12"/>
      <c r="B19" s="12" t="s">
        <v>8</v>
      </c>
      <c r="C19" s="29">
        <f t="shared" ref="C19:K19" si="7">SUM(C16:C18)</f>
        <v>17734018.880000003</v>
      </c>
      <c r="D19" s="29">
        <f t="shared" si="7"/>
        <v>19167267.120000001</v>
      </c>
      <c r="E19" s="29">
        <f t="shared" si="7"/>
        <v>20605520.16</v>
      </c>
      <c r="F19" s="29">
        <f t="shared" si="7"/>
        <v>22049075.088</v>
      </c>
      <c r="G19" s="29">
        <f t="shared" si="7"/>
        <v>23498246.753279999</v>
      </c>
      <c r="H19" s="29">
        <f t="shared" si="7"/>
        <v>24953368.830796801</v>
      </c>
      <c r="I19" s="29">
        <f t="shared" si="7"/>
        <v>26414794.949419014</v>
      </c>
      <c r="J19" s="29">
        <f t="shared" si="7"/>
        <v>27882899.887830034</v>
      </c>
      <c r="K19" s="29">
        <f t="shared" si="7"/>
        <v>29358080.842158645</v>
      </c>
    </row>
    <row r="20" spans="1:11" x14ac:dyDescent="0.35">
      <c r="A20" s="12"/>
      <c r="B20" s="12"/>
      <c r="C20" s="29"/>
      <c r="D20" s="29"/>
      <c r="E20" s="29"/>
      <c r="F20" s="29"/>
      <c r="G20" s="29"/>
      <c r="H20" s="29"/>
      <c r="I20" s="29"/>
      <c r="J20" s="29"/>
      <c r="K20" s="29"/>
    </row>
    <row r="21" spans="1:11" x14ac:dyDescent="0.35">
      <c r="A21" s="12"/>
      <c r="B21" s="12" t="s">
        <v>100</v>
      </c>
      <c r="C21" s="29">
        <f t="shared" ref="C21:K21" si="8">C19+C13</f>
        <v>78673983.552000016</v>
      </c>
      <c r="D21" s="29">
        <f t="shared" si="8"/>
        <v>84939728.848000005</v>
      </c>
      <c r="E21" s="29">
        <f t="shared" si="8"/>
        <v>91402853.943999991</v>
      </c>
      <c r="F21" s="29">
        <f t="shared" si="8"/>
        <v>97873774.678000003</v>
      </c>
      <c r="G21" s="29">
        <f t="shared" si="8"/>
        <v>104352930.58678</v>
      </c>
      <c r="H21" s="29">
        <f t="shared" si="8"/>
        <v>110840786.2671718</v>
      </c>
      <c r="I21" s="29">
        <f t="shared" si="8"/>
        <v>117337832.81601277</v>
      </c>
      <c r="J21" s="29">
        <f t="shared" si="8"/>
        <v>123844589.3533535</v>
      </c>
      <c r="K21" s="29">
        <f t="shared" si="8"/>
        <v>130361604.63375825</v>
      </c>
    </row>
    <row r="22" spans="1:11" x14ac:dyDescent="0.35">
      <c r="A22" s="12"/>
      <c r="B22" s="12" t="s">
        <v>101</v>
      </c>
      <c r="C22" s="29">
        <f>Budgets!B7</f>
        <v>81646560</v>
      </c>
      <c r="D22" s="29">
        <f>Budgets!C7</f>
        <v>92872962</v>
      </c>
      <c r="E22" s="29">
        <f>Budgets!D7</f>
        <v>100017036</v>
      </c>
      <c r="F22" s="29">
        <f>Budgets!E7</f>
        <v>107161110</v>
      </c>
      <c r="G22" s="29">
        <f>Budgets!F7</f>
        <v>114305184</v>
      </c>
      <c r="H22" s="29">
        <f>Budgets!G7</f>
        <v>121449257.99999999</v>
      </c>
      <c r="I22" s="29">
        <f>Budgets!H7</f>
        <v>128593332.00000001</v>
      </c>
      <c r="J22" s="29">
        <f>Budgets!I7</f>
        <v>135737406</v>
      </c>
      <c r="K22" s="29">
        <f>Budgets!J7</f>
        <v>142881480</v>
      </c>
    </row>
    <row r="23" spans="1:11" x14ac:dyDescent="0.35">
      <c r="A23" s="12"/>
      <c r="B23" s="12" t="s">
        <v>102</v>
      </c>
      <c r="C23" s="29">
        <f>C22-C21</f>
        <v>2972576.447999984</v>
      </c>
      <c r="D23" s="29">
        <f t="shared" ref="D23:K23" si="9">D22-D21</f>
        <v>7933233.1519999951</v>
      </c>
      <c r="E23" s="29">
        <f t="shared" si="9"/>
        <v>8614182.0560000092</v>
      </c>
      <c r="F23" s="29">
        <f t="shared" si="9"/>
        <v>9287335.3219999969</v>
      </c>
      <c r="G23" s="29">
        <f t="shared" si="9"/>
        <v>9952253.4132200032</v>
      </c>
      <c r="H23" s="29">
        <f t="shared" si="9"/>
        <v>10608471.732828185</v>
      </c>
      <c r="I23" s="29">
        <f t="shared" si="9"/>
        <v>11255499.183987245</v>
      </c>
      <c r="J23" s="29">
        <f t="shared" si="9"/>
        <v>11892816.6466465</v>
      </c>
      <c r="K23" s="29">
        <f t="shared" si="9"/>
        <v>12519875.366241753</v>
      </c>
    </row>
    <row r="24" spans="1:11" x14ac:dyDescent="0.35">
      <c r="A24" s="12"/>
      <c r="B24" s="12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35">
      <c r="A25" s="12"/>
      <c r="B25" s="12" t="s">
        <v>103</v>
      </c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35">
      <c r="A26" s="12"/>
      <c r="B26" s="12" t="s">
        <v>104</v>
      </c>
      <c r="C26" s="29">
        <f>SUM('Ann 13'!E9:E12)*100000</f>
        <v>151826.09999999998</v>
      </c>
      <c r="D26" s="29">
        <f>SUM('Ann 13'!E13:E16)*100000</f>
        <v>132665.39999999994</v>
      </c>
      <c r="E26" s="29">
        <f>SUM('Ann 13'!E17:E20)*100000</f>
        <v>109082.99999999993</v>
      </c>
      <c r="F26" s="29">
        <f>SUM('Ann 13'!E21:E24)*100000</f>
        <v>85500.599999999904</v>
      </c>
      <c r="G26" s="29">
        <f>SUM('Ann 13'!E25:E28)*100000</f>
        <v>61918.19999999991</v>
      </c>
      <c r="H26" s="29">
        <f>SUM('Ann 13'!E29:E32)*100000</f>
        <v>38335.799999999923</v>
      </c>
      <c r="I26" s="29">
        <f>SUM('Ann 13'!E33:E36)*100000</f>
        <v>14753.399999999921</v>
      </c>
      <c r="J26" s="29">
        <v>0</v>
      </c>
      <c r="K26" s="29">
        <v>0</v>
      </c>
    </row>
    <row r="27" spans="1:11" x14ac:dyDescent="0.35">
      <c r="A27" s="12"/>
      <c r="B27" s="12" t="s">
        <v>183</v>
      </c>
      <c r="C27" s="29">
        <f>'Ann 2'!$C$7*10%*100000</f>
        <v>100000</v>
      </c>
      <c r="D27" s="29">
        <f>'Ann 2'!$C$7*10%*100000</f>
        <v>100000</v>
      </c>
      <c r="E27" s="29">
        <f>'Ann 2'!$C$7*10%*100000</f>
        <v>100000</v>
      </c>
      <c r="F27" s="29">
        <f>'Ann 2'!$C$7*10%*100000</f>
        <v>100000</v>
      </c>
      <c r="G27" s="29">
        <f>'Ann 2'!$C$7*10%*100000</f>
        <v>100000</v>
      </c>
      <c r="H27" s="29">
        <f>'Ann 2'!$C$7*10%*100000</f>
        <v>100000</v>
      </c>
      <c r="I27" s="29">
        <f>'Ann 2'!$C$7*10%*100000</f>
        <v>100000</v>
      </c>
      <c r="J27" s="29">
        <f>'Ann 2'!$C$7*10%*100000</f>
        <v>100000</v>
      </c>
      <c r="K27" s="29">
        <f>'Ann 2'!$C$7*10%*100000</f>
        <v>100000</v>
      </c>
    </row>
    <row r="28" spans="1:11" x14ac:dyDescent="0.35">
      <c r="A28" s="12"/>
      <c r="B28" s="42" t="s">
        <v>114</v>
      </c>
      <c r="C28" s="29">
        <f>SUM(C26:C27)</f>
        <v>251826.09999999998</v>
      </c>
      <c r="D28" s="29">
        <f t="shared" ref="D28:K28" si="10">SUM(D26:D27)</f>
        <v>232665.39999999994</v>
      </c>
      <c r="E28" s="29">
        <f t="shared" si="10"/>
        <v>209082.99999999994</v>
      </c>
      <c r="F28" s="29">
        <f t="shared" si="10"/>
        <v>185500.59999999992</v>
      </c>
      <c r="G28" s="29">
        <f t="shared" si="10"/>
        <v>161918.1999999999</v>
      </c>
      <c r="H28" s="29">
        <f t="shared" si="10"/>
        <v>138335.79999999993</v>
      </c>
      <c r="I28" s="29">
        <f t="shared" si="10"/>
        <v>114753.39999999992</v>
      </c>
      <c r="J28" s="29">
        <f t="shared" si="10"/>
        <v>100000</v>
      </c>
      <c r="K28" s="29">
        <f t="shared" si="10"/>
        <v>100000</v>
      </c>
    </row>
    <row r="29" spans="1:11" x14ac:dyDescent="0.35">
      <c r="A29" s="12"/>
      <c r="B29" s="12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35">
      <c r="A30" s="12"/>
      <c r="B30" s="12" t="s">
        <v>115</v>
      </c>
      <c r="C30" s="29">
        <f t="shared" ref="C30:K30" si="11">C23-C28</f>
        <v>2720750.3479999839</v>
      </c>
      <c r="D30" s="29">
        <f t="shared" si="11"/>
        <v>7700567.7519999947</v>
      </c>
      <c r="E30" s="29">
        <f t="shared" si="11"/>
        <v>8405099.0560000092</v>
      </c>
      <c r="F30" s="29">
        <f t="shared" si="11"/>
        <v>9101834.7219999973</v>
      </c>
      <c r="G30" s="29">
        <f t="shared" si="11"/>
        <v>9790335.213220004</v>
      </c>
      <c r="H30" s="29">
        <f t="shared" si="11"/>
        <v>10470135.932828184</v>
      </c>
      <c r="I30" s="29">
        <f t="shared" si="11"/>
        <v>11140745.783987245</v>
      </c>
      <c r="J30" s="29">
        <f t="shared" si="11"/>
        <v>11792816.6466465</v>
      </c>
      <c r="K30" s="29">
        <f t="shared" si="11"/>
        <v>12419875.366241753</v>
      </c>
    </row>
    <row r="31" spans="1:11" x14ac:dyDescent="0.35">
      <c r="A31" s="12"/>
      <c r="B31" s="12" t="s">
        <v>235</v>
      </c>
      <c r="C31" s="29">
        <f>'Ann 1'!C35*100000</f>
        <v>75000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</row>
    <row r="32" spans="1:11" x14ac:dyDescent="0.35">
      <c r="A32" s="12"/>
      <c r="B32" s="42" t="s">
        <v>116</v>
      </c>
      <c r="C32" s="29">
        <f>'Ann 9'!C13+'Ann 9'!D13+'Ann 9'!E13</f>
        <v>377250</v>
      </c>
      <c r="D32" s="29">
        <f>'Ann 9'!C14+'Ann 9'!D14+'Ann 9'!E14</f>
        <v>326062.5</v>
      </c>
      <c r="E32" s="29">
        <f>'Ann 9'!C15+'Ann 9'!D15+'Ann 9'!E15</f>
        <v>282013.125</v>
      </c>
      <c r="F32" s="29">
        <f>'Ann 9'!C16+'Ann 9'!D16+'Ann 9'!E16</f>
        <v>244085.15625</v>
      </c>
      <c r="G32" s="29">
        <f>'Ann 9'!C17+'Ann 9'!D17+'Ann 9'!E17</f>
        <v>211408.98281249998</v>
      </c>
      <c r="H32" s="29">
        <f>'Ann 9'!C18+'Ann 9'!D18+'Ann 9'!E18</f>
        <v>183240.57539062499</v>
      </c>
      <c r="I32" s="29">
        <f>'Ann 9'!C19+'Ann 9'!D19+'Ann 9'!E19</f>
        <v>158943.13508203125</v>
      </c>
      <c r="J32" s="29">
        <f>'Ann 9'!C20+'Ann 9'!D20+'Ann 9'!E20</f>
        <v>137971.44621972655</v>
      </c>
      <c r="K32" s="29">
        <f>'Ann 9'!C21+'Ann 9'!D21+'Ann 9'!E21</f>
        <v>119858.53254676756</v>
      </c>
    </row>
    <row r="33" spans="1:11" x14ac:dyDescent="0.35">
      <c r="A33" s="12"/>
      <c r="B33" s="42" t="s">
        <v>117</v>
      </c>
      <c r="C33" s="29">
        <f>C30-C32-C31</f>
        <v>2268500.3479999839</v>
      </c>
      <c r="D33" s="29">
        <f t="shared" ref="D33:K33" si="12">D30-D32-D31</f>
        <v>7374505.2519999947</v>
      </c>
      <c r="E33" s="29">
        <f t="shared" si="12"/>
        <v>8123085.9310000092</v>
      </c>
      <c r="F33" s="29">
        <f t="shared" si="12"/>
        <v>8857749.5657499973</v>
      </c>
      <c r="G33" s="29">
        <f t="shared" si="12"/>
        <v>9578926.2304075044</v>
      </c>
      <c r="H33" s="29">
        <f t="shared" si="12"/>
        <v>10286895.357437558</v>
      </c>
      <c r="I33" s="29">
        <f t="shared" si="12"/>
        <v>10981802.648905214</v>
      </c>
      <c r="J33" s="29">
        <f t="shared" si="12"/>
        <v>11654845.200426772</v>
      </c>
      <c r="K33" s="29">
        <f t="shared" si="12"/>
        <v>12300016.833694985</v>
      </c>
    </row>
    <row r="34" spans="1:11" x14ac:dyDescent="0.35">
      <c r="A34" s="12"/>
      <c r="B34" s="42" t="s">
        <v>118</v>
      </c>
      <c r="C34" s="29">
        <f>'Ann 10'!B14</f>
        <v>703050.10439999518</v>
      </c>
      <c r="D34" s="29">
        <f>'Ann 10'!C14</f>
        <v>2212351.5755999982</v>
      </c>
      <c r="E34" s="29">
        <f>'Ann 10'!D14</f>
        <v>2436925.7793000028</v>
      </c>
      <c r="F34" s="29">
        <f>'Ann 10'!E14</f>
        <v>2657324.8697249992</v>
      </c>
      <c r="G34" s="29">
        <f>'Ann 10'!F14</f>
        <v>2873677.8691222514</v>
      </c>
      <c r="H34" s="29">
        <f>'Ann 10'!G14</f>
        <v>3086068.6072312673</v>
      </c>
      <c r="I34" s="29">
        <f>'Ann 10'!H14</f>
        <v>3294540.7946715639</v>
      </c>
      <c r="J34" s="29">
        <f>'Ann 10'!I14</f>
        <v>3496453.5601280318</v>
      </c>
      <c r="K34" s="29">
        <f>'Ann 10'!J14</f>
        <v>3690005.0501084956</v>
      </c>
    </row>
    <row r="35" spans="1:11" x14ac:dyDescent="0.35">
      <c r="A35" s="12"/>
      <c r="B35" s="42" t="s">
        <v>119</v>
      </c>
      <c r="C35" s="29">
        <f>C33-C34</f>
        <v>1565450.2435999888</v>
      </c>
      <c r="D35" s="29">
        <f>D33-D34</f>
        <v>5162153.6763999965</v>
      </c>
      <c r="E35" s="29">
        <f t="shared" ref="E35:K35" si="13">E33-E34</f>
        <v>5686160.1517000068</v>
      </c>
      <c r="F35" s="29">
        <f t="shared" si="13"/>
        <v>6200424.6960249981</v>
      </c>
      <c r="G35" s="29">
        <f t="shared" si="13"/>
        <v>6705248.3612852525</v>
      </c>
      <c r="H35" s="29">
        <f t="shared" si="13"/>
        <v>7200826.7502062917</v>
      </c>
      <c r="I35" s="29">
        <f t="shared" si="13"/>
        <v>7687261.8542336505</v>
      </c>
      <c r="J35" s="29">
        <f t="shared" si="13"/>
        <v>8158391.6402987409</v>
      </c>
      <c r="K35" s="29">
        <f t="shared" si="13"/>
        <v>8610011.783586489</v>
      </c>
    </row>
    <row r="36" spans="1:11" x14ac:dyDescent="0.35">
      <c r="A36" s="12"/>
      <c r="B36" s="42" t="s">
        <v>120</v>
      </c>
      <c r="C36" s="29">
        <f>C35*80%</f>
        <v>1252360.194879991</v>
      </c>
      <c r="D36" s="29">
        <f t="shared" ref="D36:K36" si="14">D35*80%</f>
        <v>4129722.9411199973</v>
      </c>
      <c r="E36" s="29">
        <f t="shared" si="14"/>
        <v>4548928.1213600058</v>
      </c>
      <c r="F36" s="29">
        <f t="shared" si="14"/>
        <v>4960339.7568199988</v>
      </c>
      <c r="G36" s="29">
        <f t="shared" si="14"/>
        <v>5364198.6890282026</v>
      </c>
      <c r="H36" s="29">
        <f t="shared" si="14"/>
        <v>5760661.4001650335</v>
      </c>
      <c r="I36" s="29">
        <f t="shared" si="14"/>
        <v>6149809.4833869208</v>
      </c>
      <c r="J36" s="29">
        <f t="shared" si="14"/>
        <v>6526713.3122389931</v>
      </c>
      <c r="K36" s="29">
        <f t="shared" si="14"/>
        <v>6888009.4268691912</v>
      </c>
    </row>
    <row r="37" spans="1:11" x14ac:dyDescent="0.35">
      <c r="A37" s="12"/>
      <c r="B37" s="42" t="s">
        <v>130</v>
      </c>
      <c r="C37" s="29">
        <f>C35-C36</f>
        <v>313090.04871999775</v>
      </c>
      <c r="D37" s="29">
        <f t="shared" ref="D37:K37" si="15">D35-D36</f>
        <v>1032430.7352799992</v>
      </c>
      <c r="E37" s="29">
        <f t="shared" si="15"/>
        <v>1137232.030340001</v>
      </c>
      <c r="F37" s="29">
        <f t="shared" si="15"/>
        <v>1240084.9392049992</v>
      </c>
      <c r="G37" s="29">
        <f t="shared" si="15"/>
        <v>1341049.6722570499</v>
      </c>
      <c r="H37" s="29">
        <f t="shared" si="15"/>
        <v>1440165.3500412581</v>
      </c>
      <c r="I37" s="29">
        <f t="shared" si="15"/>
        <v>1537452.3708467297</v>
      </c>
      <c r="J37" s="29">
        <f t="shared" si="15"/>
        <v>1631678.3280597478</v>
      </c>
      <c r="K37" s="29">
        <f t="shared" si="15"/>
        <v>1722002.3567172978</v>
      </c>
    </row>
    <row r="39" spans="1:11" x14ac:dyDescent="0.35">
      <c r="A39" t="s">
        <v>218</v>
      </c>
    </row>
    <row r="40" spans="1:11" x14ac:dyDescent="0.35">
      <c r="A40" t="s">
        <v>221</v>
      </c>
    </row>
    <row r="41" spans="1:11" x14ac:dyDescent="0.35">
      <c r="A41" t="s">
        <v>249</v>
      </c>
    </row>
    <row r="42" spans="1:11" x14ac:dyDescent="0.35">
      <c r="A42" t="s">
        <v>222</v>
      </c>
    </row>
    <row r="43" spans="1:11" x14ac:dyDescent="0.35">
      <c r="B43" t="s">
        <v>220</v>
      </c>
      <c r="C43">
        <v>95000</v>
      </c>
      <c r="D43">
        <f>C43*1.05</f>
        <v>99750</v>
      </c>
      <c r="E43">
        <f t="shared" ref="E43:K43" si="16">D43*1.05</f>
        <v>104737.5</v>
      </c>
      <c r="F43">
        <f t="shared" si="16"/>
        <v>109974.375</v>
      </c>
      <c r="G43">
        <f t="shared" si="16"/>
        <v>115473.09375</v>
      </c>
      <c r="H43">
        <f t="shared" si="16"/>
        <v>121246.74843750001</v>
      </c>
      <c r="I43">
        <f t="shared" si="16"/>
        <v>127309.08585937502</v>
      </c>
      <c r="J43">
        <f t="shared" si="16"/>
        <v>133674.54015234378</v>
      </c>
      <c r="K43">
        <f t="shared" si="16"/>
        <v>140358.26715996096</v>
      </c>
    </row>
    <row r="44" spans="1:11" x14ac:dyDescent="0.35">
      <c r="B44" t="s">
        <v>78</v>
      </c>
      <c r="C44">
        <f>C43*12</f>
        <v>1140000</v>
      </c>
      <c r="D44">
        <f t="shared" ref="D44:K44" si="17">D43*10</f>
        <v>997500</v>
      </c>
      <c r="E44">
        <f t="shared" si="17"/>
        <v>1047375</v>
      </c>
      <c r="F44">
        <f t="shared" si="17"/>
        <v>1099743.75</v>
      </c>
      <c r="G44">
        <f t="shared" si="17"/>
        <v>1154730.9375</v>
      </c>
      <c r="H44">
        <f t="shared" si="17"/>
        <v>1212467.484375</v>
      </c>
      <c r="I44">
        <f t="shared" si="17"/>
        <v>1273090.8585937503</v>
      </c>
      <c r="J44">
        <f t="shared" si="17"/>
        <v>1336745.4015234378</v>
      </c>
      <c r="K44">
        <f t="shared" si="17"/>
        <v>1403582.6715996095</v>
      </c>
    </row>
    <row r="45" spans="1:11" x14ac:dyDescent="0.35">
      <c r="A45" t="s">
        <v>223</v>
      </c>
    </row>
    <row r="46" spans="1:11" x14ac:dyDescent="0.35">
      <c r="A46" t="s">
        <v>228</v>
      </c>
    </row>
  </sheetData>
  <mergeCells count="1">
    <mergeCell ref="C3:K3"/>
  </mergeCells>
  <pageMargins left="0.7" right="0.7" top="0.75" bottom="0.75" header="0.3" footer="0.3"/>
  <pageSetup scale="60" orientation="landscape" r:id="rId1"/>
  <ignoredErrors>
    <ignoredError sqref="D2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M54"/>
  <sheetViews>
    <sheetView topLeftCell="A28" workbookViewId="0">
      <selection activeCell="A44" sqref="A44"/>
    </sheetView>
  </sheetViews>
  <sheetFormatPr defaultRowHeight="14.5" x14ac:dyDescent="0.35"/>
  <cols>
    <col min="2" max="2" width="28.26953125" customWidth="1"/>
    <col min="3" max="3" width="15.6328125" bestFit="1" customWidth="1"/>
    <col min="4" max="10" width="13.7265625" bestFit="1" customWidth="1"/>
    <col min="11" max="11" width="13.6328125" bestFit="1" customWidth="1"/>
    <col min="12" max="12" width="10" bestFit="1" customWidth="1"/>
  </cols>
  <sheetData>
    <row r="1" spans="1:11" x14ac:dyDescent="0.35">
      <c r="A1" s="22" t="s">
        <v>131</v>
      </c>
    </row>
    <row r="3" spans="1:11" x14ac:dyDescent="0.35">
      <c r="A3" t="s">
        <v>132</v>
      </c>
    </row>
    <row r="5" spans="1:11" x14ac:dyDescent="0.35">
      <c r="A5" s="93" t="s">
        <v>41</v>
      </c>
      <c r="B5" s="93" t="s">
        <v>42</v>
      </c>
      <c r="C5" s="93" t="s">
        <v>52</v>
      </c>
      <c r="D5" s="93"/>
      <c r="E5" s="93"/>
      <c r="F5" s="93"/>
      <c r="G5" s="93"/>
      <c r="H5" s="93"/>
      <c r="I5" s="93"/>
      <c r="J5" s="93"/>
      <c r="K5" s="93"/>
    </row>
    <row r="6" spans="1:11" x14ac:dyDescent="0.35">
      <c r="A6" s="93"/>
      <c r="B6" s="93"/>
      <c r="C6" s="33" t="s">
        <v>43</v>
      </c>
      <c r="D6" s="33" t="s">
        <v>44</v>
      </c>
      <c r="E6" s="33" t="s">
        <v>45</v>
      </c>
      <c r="F6" s="33" t="s">
        <v>46</v>
      </c>
      <c r="G6" s="33" t="s">
        <v>47</v>
      </c>
      <c r="H6" s="33" t="s">
        <v>48</v>
      </c>
      <c r="I6" s="33" t="s">
        <v>49</v>
      </c>
      <c r="J6" s="33" t="s">
        <v>50</v>
      </c>
      <c r="K6" s="33" t="s">
        <v>51</v>
      </c>
    </row>
    <row r="7" spans="1:11" x14ac:dyDescent="0.35">
      <c r="A7" s="44" t="s">
        <v>166</v>
      </c>
      <c r="B7" s="45" t="s">
        <v>133</v>
      </c>
      <c r="C7" s="56"/>
      <c r="D7" s="56"/>
      <c r="E7" s="47"/>
      <c r="F7" s="47"/>
      <c r="G7" s="47"/>
      <c r="H7" s="47"/>
      <c r="I7" s="47"/>
      <c r="J7" s="47"/>
      <c r="K7" s="47"/>
    </row>
    <row r="8" spans="1:11" x14ac:dyDescent="0.35">
      <c r="A8" s="14">
        <v>1</v>
      </c>
      <c r="B8" s="5" t="s">
        <v>134</v>
      </c>
      <c r="C8" s="9"/>
      <c r="D8" s="9"/>
      <c r="E8" s="6"/>
      <c r="F8" s="6"/>
      <c r="G8" s="6"/>
      <c r="H8" s="6"/>
      <c r="I8" s="6"/>
      <c r="J8" s="6"/>
      <c r="K8" s="6"/>
    </row>
    <row r="9" spans="1:11" x14ac:dyDescent="0.35">
      <c r="A9" s="14"/>
      <c r="B9" s="5" t="s">
        <v>135</v>
      </c>
      <c r="C9" s="57">
        <f>'Ann 9'!C6+'Ann 9'!D6+'Ann 9'!E6</f>
        <v>2875000</v>
      </c>
      <c r="D9" s="59">
        <f>C11</f>
        <v>2497750</v>
      </c>
      <c r="E9" s="27">
        <f t="shared" ref="E9:K9" si="0">D11</f>
        <v>2171687.5</v>
      </c>
      <c r="F9" s="27">
        <f t="shared" si="0"/>
        <v>1889674.375</v>
      </c>
      <c r="G9" s="27">
        <f t="shared" si="0"/>
        <v>1645589.21875</v>
      </c>
      <c r="H9" s="27">
        <f t="shared" si="0"/>
        <v>1434180.2359374999</v>
      </c>
      <c r="I9" s="27">
        <f t="shared" si="0"/>
        <v>1250939.6605468749</v>
      </c>
      <c r="J9" s="27">
        <f t="shared" si="0"/>
        <v>1091996.5254648435</v>
      </c>
      <c r="K9" s="27">
        <f t="shared" si="0"/>
        <v>954025.07924511691</v>
      </c>
    </row>
    <row r="10" spans="1:11" x14ac:dyDescent="0.35">
      <c r="A10" s="14"/>
      <c r="B10" s="5" t="s">
        <v>136</v>
      </c>
      <c r="C10" s="57">
        <f>'Ann 9'!C13+'Ann 9'!D13+'Ann 9'!E13</f>
        <v>377250</v>
      </c>
      <c r="D10" s="59">
        <f>'Ann 9'!C14+'Ann 9'!D14+'Ann 9'!E14</f>
        <v>326062.5</v>
      </c>
      <c r="E10" s="27">
        <f>'Ann 9'!C15+'Ann 9'!D15+'Ann 9'!E15</f>
        <v>282013.125</v>
      </c>
      <c r="F10" s="27">
        <f>'Ann 9'!C16+'Ann 9'!D16+'Ann 9'!E16</f>
        <v>244085.15625</v>
      </c>
      <c r="G10" s="27">
        <f>'Ann 9'!C17+'Ann 9'!D17+'Ann 9'!E17</f>
        <v>211408.98281249998</v>
      </c>
      <c r="H10" s="27">
        <f>'Ann 9'!C18+'Ann 9'!D18+'Ann 9'!E18</f>
        <v>183240.57539062499</v>
      </c>
      <c r="I10" s="27">
        <f>+'Ann 9'!C19+'Ann 9'!D19+'Ann 9'!E19</f>
        <v>158943.13508203125</v>
      </c>
      <c r="J10" s="27">
        <f>'Ann 9'!C20+'Ann 9'!D20+'Ann 9'!E20</f>
        <v>137971.44621972655</v>
      </c>
      <c r="K10" s="27">
        <f>+'Ann 9'!C21+'Ann 9'!D21+'Ann 9'!E21</f>
        <v>119858.53254676756</v>
      </c>
    </row>
    <row r="11" spans="1:11" x14ac:dyDescent="0.35">
      <c r="A11" s="14"/>
      <c r="B11" s="5" t="s">
        <v>137</v>
      </c>
      <c r="C11" s="57">
        <f>C9-C10</f>
        <v>2497750</v>
      </c>
      <c r="D11" s="59">
        <f>D9-D10</f>
        <v>2171687.5</v>
      </c>
      <c r="E11" s="27">
        <f t="shared" ref="E11:K11" si="1">E9-E10</f>
        <v>1889674.375</v>
      </c>
      <c r="F11" s="27">
        <f t="shared" si="1"/>
        <v>1645589.21875</v>
      </c>
      <c r="G11" s="27">
        <f t="shared" si="1"/>
        <v>1434180.2359374999</v>
      </c>
      <c r="H11" s="27">
        <f t="shared" si="1"/>
        <v>1250939.6605468749</v>
      </c>
      <c r="I11" s="27">
        <f t="shared" si="1"/>
        <v>1091996.5254648435</v>
      </c>
      <c r="J11" s="27">
        <f t="shared" si="1"/>
        <v>954025.07924511691</v>
      </c>
      <c r="K11" s="27">
        <f t="shared" si="1"/>
        <v>834166.5466983493</v>
      </c>
    </row>
    <row r="12" spans="1:11" x14ac:dyDescent="0.35">
      <c r="A12" s="14">
        <v>2</v>
      </c>
      <c r="B12" s="60" t="s">
        <v>211</v>
      </c>
      <c r="C12" s="57">
        <f>'Ann 4'!C12</f>
        <v>653172.47999999672</v>
      </c>
      <c r="D12" s="57">
        <f>'Ann 4'!D12</f>
        <v>1360775.9999999963</v>
      </c>
      <c r="E12" s="57">
        <f>'Ann 4'!E12</f>
        <v>2122810.5599999987</v>
      </c>
      <c r="F12" s="57">
        <f>'Ann 4'!F12</f>
        <v>2939276.1600000039</v>
      </c>
      <c r="G12" s="57">
        <f>'Ann 4'!G12</f>
        <v>3810172.8000000119</v>
      </c>
      <c r="H12" s="57">
        <f>'Ann 4'!H12</f>
        <v>4735500.4800000042</v>
      </c>
      <c r="I12" s="57">
        <f>'Ann 4'!I12</f>
        <v>5715259.1999999993</v>
      </c>
      <c r="J12" s="57">
        <f>'Ann 4'!J12</f>
        <v>6749448.9599999972</v>
      </c>
      <c r="K12" s="57">
        <f>'Ann 4'!K12</f>
        <v>7838069.7599999979</v>
      </c>
    </row>
    <row r="13" spans="1:11" x14ac:dyDescent="0.35">
      <c r="A13" s="14">
        <v>3</v>
      </c>
      <c r="B13" s="5" t="s">
        <v>138</v>
      </c>
      <c r="C13" s="57">
        <f>'Ann 4'!C22*30/300</f>
        <v>8164656</v>
      </c>
      <c r="D13" s="57">
        <f>'Ann 4'!D22*30/300</f>
        <v>9287296.1999999993</v>
      </c>
      <c r="E13" s="57">
        <f>'Ann 4'!E22*30/300</f>
        <v>10001703.6</v>
      </c>
      <c r="F13" s="57">
        <f>'Ann 4'!F22*30/300</f>
        <v>10716111</v>
      </c>
      <c r="G13" s="57">
        <f>'Ann 4'!G22*30/300</f>
        <v>11430518.4</v>
      </c>
      <c r="H13" s="57">
        <f>'Ann 4'!H22*30/300</f>
        <v>12144925.799999999</v>
      </c>
      <c r="I13" s="57">
        <f>'Ann 4'!I22*30/300</f>
        <v>12859333.200000001</v>
      </c>
      <c r="J13" s="57">
        <f>'Ann 4'!J22*30/300</f>
        <v>13573740.6</v>
      </c>
      <c r="K13" s="57">
        <f>'Ann 4'!K22*30/300</f>
        <v>14288148</v>
      </c>
    </row>
    <row r="14" spans="1:11" x14ac:dyDescent="0.35">
      <c r="A14" s="14">
        <v>4</v>
      </c>
      <c r="B14" s="5" t="s">
        <v>139</v>
      </c>
      <c r="C14" s="58">
        <f>'Cash flows'!B16</f>
        <v>4246827.2167200111</v>
      </c>
      <c r="D14" s="58">
        <f>'Cash flows'!C16</f>
        <v>4340023.0360000208</v>
      </c>
      <c r="E14" s="58">
        <f>'Cash flows'!D16</f>
        <v>4847772.5353400111</v>
      </c>
      <c r="F14" s="58">
        <f>'Cash flows'!E16</f>
        <v>5366015.9347950015</v>
      </c>
      <c r="G14" s="58">
        <f>'Cash flows'!F16</f>
        <v>5898116.8538645403</v>
      </c>
      <c r="H14" s="58">
        <f>'Cash flows'!G16</f>
        <v>6446734.0032964116</v>
      </c>
      <c r="I14" s="58">
        <f>'Cash flows'!H16</f>
        <v>7013669.6932251686</v>
      </c>
      <c r="J14" s="58">
        <f>'Cash flows'!I16</f>
        <v>7992708.6115046591</v>
      </c>
      <c r="K14" s="58">
        <f>'Cash flows'!J16</f>
        <v>8989527.604768727</v>
      </c>
    </row>
    <row r="15" spans="1:11" x14ac:dyDescent="0.35">
      <c r="A15" s="14"/>
      <c r="B15" s="5" t="s">
        <v>147</v>
      </c>
      <c r="C15" s="57">
        <f t="shared" ref="C15:K15" si="2">SUM(C11:C14)</f>
        <v>15562405.696720008</v>
      </c>
      <c r="D15" s="57">
        <f t="shared" si="2"/>
        <v>17159782.736000016</v>
      </c>
      <c r="E15" s="48">
        <f t="shared" si="2"/>
        <v>18861961.070340008</v>
      </c>
      <c r="F15" s="48">
        <f t="shared" si="2"/>
        <v>20666992.313545004</v>
      </c>
      <c r="G15" s="48">
        <f t="shared" si="2"/>
        <v>22572988.289802052</v>
      </c>
      <c r="H15" s="48">
        <f t="shared" si="2"/>
        <v>24578099.94384329</v>
      </c>
      <c r="I15" s="48">
        <f t="shared" si="2"/>
        <v>26680258.618690014</v>
      </c>
      <c r="J15" s="48">
        <f t="shared" si="2"/>
        <v>29269923.250749774</v>
      </c>
      <c r="K15" s="48">
        <f t="shared" si="2"/>
        <v>31949911.911467072</v>
      </c>
    </row>
    <row r="16" spans="1:11" x14ac:dyDescent="0.35">
      <c r="A16" s="14"/>
      <c r="B16" s="5"/>
      <c r="C16" s="57"/>
      <c r="D16" s="57"/>
      <c r="E16" s="48"/>
      <c r="F16" s="48"/>
      <c r="G16" s="48"/>
      <c r="H16" s="48"/>
      <c r="I16" s="48"/>
      <c r="J16" s="48"/>
      <c r="K16" s="48"/>
    </row>
    <row r="17" spans="1:13" x14ac:dyDescent="0.35">
      <c r="A17" s="14" t="s">
        <v>167</v>
      </c>
      <c r="B17" s="49" t="s">
        <v>140</v>
      </c>
      <c r="C17" s="9"/>
      <c r="D17" s="9"/>
      <c r="E17" s="6"/>
      <c r="F17" s="6"/>
      <c r="G17" s="6"/>
      <c r="H17" s="6"/>
      <c r="I17" s="6"/>
      <c r="J17" s="6"/>
      <c r="K17" s="6"/>
    </row>
    <row r="18" spans="1:13" x14ac:dyDescent="0.35">
      <c r="A18" s="14">
        <v>1</v>
      </c>
      <c r="B18" s="5" t="s">
        <v>141</v>
      </c>
      <c r="C18" s="58">
        <f>'Ann 2'!C4*100000</f>
        <v>395000</v>
      </c>
      <c r="D18" s="58">
        <f>C21</f>
        <v>708090.04871999775</v>
      </c>
      <c r="E18" s="18">
        <f t="shared" ref="E18:K18" si="3">D21</f>
        <v>1740520.783999997</v>
      </c>
      <c r="F18" s="18">
        <f t="shared" si="3"/>
        <v>2877752.8143399982</v>
      </c>
      <c r="G18" s="18">
        <f t="shared" si="3"/>
        <v>4117837.7535449974</v>
      </c>
      <c r="H18" s="18">
        <f t="shared" si="3"/>
        <v>5458887.4258020474</v>
      </c>
      <c r="I18" s="18">
        <f t="shared" si="3"/>
        <v>6899052.7758433055</v>
      </c>
      <c r="J18" s="18">
        <f t="shared" si="3"/>
        <v>8436505.1466900352</v>
      </c>
      <c r="K18" s="18">
        <f t="shared" si="3"/>
        <v>10068183.474749783</v>
      </c>
    </row>
    <row r="19" spans="1:13" x14ac:dyDescent="0.35">
      <c r="A19" s="14"/>
      <c r="B19" s="5" t="s">
        <v>142</v>
      </c>
      <c r="C19" s="58">
        <f>'Ann 4'!C37</f>
        <v>313090.04871999775</v>
      </c>
      <c r="D19" s="58">
        <f>'Ann 4'!D37</f>
        <v>1032430.7352799992</v>
      </c>
      <c r="E19" s="18">
        <f>'Ann 4'!E37</f>
        <v>1137232.030340001</v>
      </c>
      <c r="F19" s="18">
        <f>'Ann 4'!F37</f>
        <v>1240084.9392049992</v>
      </c>
      <c r="G19" s="18">
        <f>'Ann 4'!G37</f>
        <v>1341049.6722570499</v>
      </c>
      <c r="H19" s="18">
        <f>'Ann 4'!H37</f>
        <v>1440165.3500412581</v>
      </c>
      <c r="I19" s="18">
        <f>'Ann 4'!I37</f>
        <v>1537452.3708467297</v>
      </c>
      <c r="J19" s="18">
        <f>'Ann 4'!J37</f>
        <v>1631678.3280597478</v>
      </c>
      <c r="K19" s="18">
        <f>'Ann 4'!K37</f>
        <v>1722002.3567172978</v>
      </c>
    </row>
    <row r="20" spans="1:13" x14ac:dyDescent="0.35">
      <c r="A20" s="14"/>
      <c r="B20" s="5" t="s">
        <v>143</v>
      </c>
      <c r="C20" s="58">
        <v>0</v>
      </c>
      <c r="D20" s="5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spans="1:13" x14ac:dyDescent="0.35">
      <c r="A21" s="14"/>
      <c r="B21" s="5" t="s">
        <v>144</v>
      </c>
      <c r="C21" s="58">
        <f>C18+C19</f>
        <v>708090.04871999775</v>
      </c>
      <c r="D21" s="58">
        <f t="shared" ref="D21:K21" si="4">D18+D19</f>
        <v>1740520.783999997</v>
      </c>
      <c r="E21" s="18">
        <f t="shared" si="4"/>
        <v>2877752.8143399982</v>
      </c>
      <c r="F21" s="18">
        <f t="shared" si="4"/>
        <v>4117837.7535449974</v>
      </c>
      <c r="G21" s="18">
        <f t="shared" si="4"/>
        <v>5458887.4258020474</v>
      </c>
      <c r="H21" s="18">
        <f t="shared" si="4"/>
        <v>6899052.7758433055</v>
      </c>
      <c r="I21" s="18">
        <f t="shared" si="4"/>
        <v>8436505.1466900352</v>
      </c>
      <c r="J21" s="18">
        <f t="shared" si="4"/>
        <v>10068183.474749783</v>
      </c>
      <c r="K21" s="18">
        <f t="shared" si="4"/>
        <v>11790185.831467081</v>
      </c>
    </row>
    <row r="22" spans="1:13" x14ac:dyDescent="0.35">
      <c r="A22" s="14">
        <v>2</v>
      </c>
      <c r="B22" s="5" t="s">
        <v>145</v>
      </c>
      <c r="C22" s="58">
        <f>'Ann 13'!C13*100000</f>
        <v>2358479.9999999995</v>
      </c>
      <c r="D22" s="58">
        <f>'Ann 13'!C17*100000</f>
        <v>1965439.9999999988</v>
      </c>
      <c r="E22" s="58">
        <f>'Ann 13'!C21*100000</f>
        <v>1572399.9999999984</v>
      </c>
      <c r="F22" s="58">
        <f>'Ann 13'!C25*100000</f>
        <v>1179359.9999999986</v>
      </c>
      <c r="G22" s="18">
        <f>('Ann 13'!C28-'Ann 13'!D28)*100000</f>
        <v>786319.99999999872</v>
      </c>
      <c r="H22" s="18">
        <f>('Ann 13'!C32-'Ann 13'!D32)*100000</f>
        <v>393279.99999999872</v>
      </c>
      <c r="I22" s="18">
        <v>0</v>
      </c>
      <c r="J22" s="18">
        <v>0</v>
      </c>
      <c r="K22" s="18">
        <v>0</v>
      </c>
    </row>
    <row r="23" spans="1:13" x14ac:dyDescent="0.35">
      <c r="A23" s="14">
        <v>3</v>
      </c>
      <c r="B23" s="60" t="s">
        <v>182</v>
      </c>
      <c r="C23" s="58">
        <v>1000000</v>
      </c>
      <c r="D23" s="58">
        <v>1000000</v>
      </c>
      <c r="E23" s="58">
        <v>1000000</v>
      </c>
      <c r="F23" s="58">
        <v>1000000</v>
      </c>
      <c r="G23" s="58">
        <v>1000000</v>
      </c>
      <c r="H23" s="58">
        <v>1000000</v>
      </c>
      <c r="I23" s="58">
        <v>1000000</v>
      </c>
      <c r="J23" s="58">
        <v>1000000</v>
      </c>
      <c r="K23" s="58">
        <v>1000000</v>
      </c>
    </row>
    <row r="24" spans="1:13" x14ac:dyDescent="0.35">
      <c r="A24" s="14">
        <v>4</v>
      </c>
      <c r="B24" s="60" t="s">
        <v>176</v>
      </c>
      <c r="C24" s="58">
        <f>'Ann 4'!C7*60/300</f>
        <v>11495835.648</v>
      </c>
      <c r="D24" s="58">
        <f>'Ann 4'!D7*60/300</f>
        <v>12453821.952000001</v>
      </c>
      <c r="E24" s="58">
        <f>'Ann 4'!E7*60/300</f>
        <v>13411808.256000001</v>
      </c>
      <c r="F24" s="58">
        <f>'Ann 4'!F7*60/300</f>
        <v>14369794.560000002</v>
      </c>
      <c r="G24" s="58">
        <f>'Ann 4'!G7*60/300</f>
        <v>15327780.864000002</v>
      </c>
      <c r="H24" s="58">
        <f>'Ann 4'!H7*60/300</f>
        <v>16285767.168000001</v>
      </c>
      <c r="I24" s="58">
        <f>'Ann 4'!I7*60/300</f>
        <v>17243753.472000003</v>
      </c>
      <c r="J24" s="58">
        <f>'Ann 4'!J7*60/300</f>
        <v>18201739.776000001</v>
      </c>
      <c r="K24" s="58">
        <f>'Ann 4'!K7*60/300</f>
        <v>19159726.079999998</v>
      </c>
    </row>
    <row r="25" spans="1:13" x14ac:dyDescent="0.35">
      <c r="A25" s="14"/>
      <c r="B25" s="5" t="s">
        <v>146</v>
      </c>
      <c r="C25" s="57">
        <f t="shared" ref="C25:K25" si="5">SUM(C21:C24)</f>
        <v>15562405.696719997</v>
      </c>
      <c r="D25" s="57">
        <f t="shared" si="5"/>
        <v>17159782.735999998</v>
      </c>
      <c r="E25" s="57">
        <f t="shared" si="5"/>
        <v>18861961.070339996</v>
      </c>
      <c r="F25" s="57">
        <f t="shared" si="5"/>
        <v>20666992.313544996</v>
      </c>
      <c r="G25" s="57">
        <f t="shared" si="5"/>
        <v>22572988.289802048</v>
      </c>
      <c r="H25" s="57">
        <f t="shared" si="5"/>
        <v>24578099.943843305</v>
      </c>
      <c r="I25" s="57">
        <f t="shared" si="5"/>
        <v>26680258.618690036</v>
      </c>
      <c r="J25" s="57">
        <f t="shared" si="5"/>
        <v>29269923.250749782</v>
      </c>
      <c r="K25" s="57">
        <f t="shared" si="5"/>
        <v>31949911.911467079</v>
      </c>
    </row>
    <row r="26" spans="1:13" x14ac:dyDescent="0.35">
      <c r="A26" s="14"/>
      <c r="B26" s="5"/>
      <c r="C26" s="57"/>
      <c r="D26" s="57"/>
      <c r="E26" s="57"/>
      <c r="F26" s="57"/>
      <c r="G26" s="57"/>
      <c r="H26" s="57"/>
      <c r="I26" s="57"/>
      <c r="J26" s="57"/>
      <c r="K26" s="57"/>
      <c r="L26" s="68"/>
      <c r="M26" s="5"/>
    </row>
    <row r="27" spans="1:13" x14ac:dyDescent="0.35">
      <c r="A27" s="61"/>
      <c r="B27" s="62" t="s">
        <v>148</v>
      </c>
      <c r="C27" s="63"/>
      <c r="D27" s="63"/>
      <c r="E27" s="64"/>
      <c r="F27" s="64"/>
      <c r="G27" s="64"/>
      <c r="H27" s="64"/>
      <c r="I27" s="64"/>
      <c r="J27" s="64"/>
      <c r="K27" s="64"/>
    </row>
    <row r="28" spans="1:13" x14ac:dyDescent="0.35">
      <c r="A28" s="14"/>
      <c r="B28" s="5" t="s">
        <v>149</v>
      </c>
      <c r="C28" s="57">
        <f t="shared" ref="C28:K28" si="6">SUM(C13:C14)</f>
        <v>12411483.216720011</v>
      </c>
      <c r="D28" s="57">
        <f t="shared" si="6"/>
        <v>13627319.23600002</v>
      </c>
      <c r="E28" s="48">
        <f t="shared" si="6"/>
        <v>14849476.135340011</v>
      </c>
      <c r="F28" s="48">
        <f t="shared" si="6"/>
        <v>16082126.934795002</v>
      </c>
      <c r="G28" s="48">
        <f t="shared" si="6"/>
        <v>17328635.253864542</v>
      </c>
      <c r="H28" s="48">
        <f t="shared" si="6"/>
        <v>18591659.80329641</v>
      </c>
      <c r="I28" s="48">
        <f t="shared" si="6"/>
        <v>19873002.893225171</v>
      </c>
      <c r="J28" s="48">
        <f t="shared" si="6"/>
        <v>21566449.211504661</v>
      </c>
      <c r="K28" s="48">
        <f t="shared" si="6"/>
        <v>23277675.604768727</v>
      </c>
    </row>
    <row r="29" spans="1:13" x14ac:dyDescent="0.35">
      <c r="A29" s="14"/>
      <c r="B29" s="5" t="s">
        <v>150</v>
      </c>
      <c r="C29" s="57">
        <f>C24</f>
        <v>11495835.648</v>
      </c>
      <c r="D29" s="57">
        <f t="shared" ref="D29:K29" si="7">D24</f>
        <v>12453821.952000001</v>
      </c>
      <c r="E29" s="57">
        <f t="shared" si="7"/>
        <v>13411808.256000001</v>
      </c>
      <c r="F29" s="57">
        <f t="shared" si="7"/>
        <v>14369794.560000002</v>
      </c>
      <c r="G29" s="57">
        <f t="shared" si="7"/>
        <v>15327780.864000002</v>
      </c>
      <c r="H29" s="57">
        <f t="shared" si="7"/>
        <v>16285767.168000001</v>
      </c>
      <c r="I29" s="57">
        <f t="shared" si="7"/>
        <v>17243753.472000003</v>
      </c>
      <c r="J29" s="57">
        <f t="shared" si="7"/>
        <v>18201739.776000001</v>
      </c>
      <c r="K29" s="57">
        <f t="shared" si="7"/>
        <v>19159726.079999998</v>
      </c>
    </row>
    <row r="30" spans="1:13" x14ac:dyDescent="0.35">
      <c r="A30" s="14"/>
      <c r="B30" s="5" t="s">
        <v>155</v>
      </c>
      <c r="C30" s="9">
        <f>C28/C29</f>
        <v>1.0796503705130225</v>
      </c>
      <c r="D30" s="9">
        <f>D28/D29</f>
        <v>1.0942278834981709</v>
      </c>
      <c r="E30" s="6">
        <f t="shared" ref="E30:K30" si="8">E28/E29</f>
        <v>1.1071941867866211</v>
      </c>
      <c r="F30" s="6">
        <f t="shared" si="8"/>
        <v>1.1191619245247582</v>
      </c>
      <c r="G30" s="6">
        <f t="shared" si="8"/>
        <v>1.1305377737076017</v>
      </c>
      <c r="H30" s="6">
        <f t="shared" si="8"/>
        <v>1.141589438895287</v>
      </c>
      <c r="I30" s="6">
        <f t="shared" si="8"/>
        <v>1.1524754703489863</v>
      </c>
      <c r="J30" s="6">
        <f t="shared" si="8"/>
        <v>1.1848564739916354</v>
      </c>
      <c r="K30" s="6">
        <f t="shared" si="8"/>
        <v>1.2149273693984215</v>
      </c>
    </row>
    <row r="31" spans="1:13" x14ac:dyDescent="0.35">
      <c r="A31" s="14"/>
      <c r="B31" s="5"/>
      <c r="C31" s="9"/>
      <c r="D31" s="9"/>
      <c r="E31" s="6"/>
      <c r="F31" s="6">
        <f>AVERAGE(C30:K30)</f>
        <v>1.1360689879627226</v>
      </c>
      <c r="G31" s="6"/>
      <c r="H31" s="6"/>
      <c r="I31" s="6"/>
      <c r="J31" s="6"/>
      <c r="K31" s="6"/>
    </row>
    <row r="32" spans="1:13" x14ac:dyDescent="0.35">
      <c r="A32" s="61"/>
      <c r="B32" s="62" t="s">
        <v>152</v>
      </c>
      <c r="C32" s="63"/>
      <c r="D32" s="63"/>
      <c r="E32" s="64"/>
      <c r="F32" s="64"/>
      <c r="G32" s="64"/>
      <c r="H32" s="64"/>
      <c r="I32" s="64"/>
      <c r="J32" s="64"/>
      <c r="K32" s="64"/>
    </row>
    <row r="33" spans="1:11" x14ac:dyDescent="0.35">
      <c r="A33" s="14"/>
      <c r="B33" s="5" t="s">
        <v>153</v>
      </c>
      <c r="C33" s="57">
        <f t="shared" ref="C33:K33" si="9">C22</f>
        <v>2358479.9999999995</v>
      </c>
      <c r="D33" s="57">
        <f t="shared" si="9"/>
        <v>1965439.9999999988</v>
      </c>
      <c r="E33" s="48">
        <f t="shared" si="9"/>
        <v>1572399.9999999984</v>
      </c>
      <c r="F33" s="48">
        <f t="shared" si="9"/>
        <v>1179359.9999999986</v>
      </c>
      <c r="G33" s="48">
        <f t="shared" si="9"/>
        <v>786319.99999999872</v>
      </c>
      <c r="H33" s="48">
        <f t="shared" si="9"/>
        <v>393279.99999999872</v>
      </c>
      <c r="I33" s="48">
        <f t="shared" si="9"/>
        <v>0</v>
      </c>
      <c r="J33" s="48">
        <f t="shared" si="9"/>
        <v>0</v>
      </c>
      <c r="K33" s="48">
        <f t="shared" si="9"/>
        <v>0</v>
      </c>
    </row>
    <row r="34" spans="1:11" x14ac:dyDescent="0.35">
      <c r="A34" s="14"/>
      <c r="B34" s="5" t="s">
        <v>154</v>
      </c>
      <c r="C34" s="57">
        <f t="shared" ref="C34:K34" si="10">C21</f>
        <v>708090.04871999775</v>
      </c>
      <c r="D34" s="57">
        <f t="shared" si="10"/>
        <v>1740520.783999997</v>
      </c>
      <c r="E34" s="48">
        <f t="shared" si="10"/>
        <v>2877752.8143399982</v>
      </c>
      <c r="F34" s="48">
        <f t="shared" si="10"/>
        <v>4117837.7535449974</v>
      </c>
      <c r="G34" s="48">
        <f t="shared" si="10"/>
        <v>5458887.4258020474</v>
      </c>
      <c r="H34" s="48">
        <f t="shared" si="10"/>
        <v>6899052.7758433055</v>
      </c>
      <c r="I34" s="48">
        <f t="shared" si="10"/>
        <v>8436505.1466900352</v>
      </c>
      <c r="J34" s="48">
        <f t="shared" si="10"/>
        <v>10068183.474749783</v>
      </c>
      <c r="K34" s="48">
        <f t="shared" si="10"/>
        <v>11790185.831467081</v>
      </c>
    </row>
    <row r="35" spans="1:11" x14ac:dyDescent="0.35">
      <c r="A35" s="14"/>
      <c r="B35" s="5" t="s">
        <v>155</v>
      </c>
      <c r="C35" s="9">
        <f>C33/C34</f>
        <v>3.3307628094242863</v>
      </c>
      <c r="D35" s="9">
        <f t="shared" ref="D35:K35" si="11">D33/D34</f>
        <v>1.1292252399785203</v>
      </c>
      <c r="E35" s="6">
        <f t="shared" si="11"/>
        <v>0.54639856215747373</v>
      </c>
      <c r="F35" s="6">
        <f t="shared" si="11"/>
        <v>0.28640273623813894</v>
      </c>
      <c r="G35" s="6">
        <f t="shared" si="11"/>
        <v>0.14404400359739394</v>
      </c>
      <c r="H35" s="6">
        <f t="shared" si="11"/>
        <v>5.7004927020858479E-2</v>
      </c>
      <c r="I35" s="48">
        <f t="shared" si="11"/>
        <v>0</v>
      </c>
      <c r="J35" s="48">
        <f t="shared" si="11"/>
        <v>0</v>
      </c>
      <c r="K35" s="48">
        <f t="shared" si="11"/>
        <v>0</v>
      </c>
    </row>
    <row r="36" spans="1:11" x14ac:dyDescent="0.35">
      <c r="A36" s="14"/>
      <c r="B36" s="60" t="s">
        <v>168</v>
      </c>
      <c r="C36" s="9"/>
      <c r="D36" s="9"/>
      <c r="E36" s="6"/>
      <c r="F36" s="6">
        <f>AVERAGE(C35:K35)</f>
        <v>0.61042647537963002</v>
      </c>
      <c r="G36" s="6"/>
      <c r="H36" s="6"/>
      <c r="I36" s="48"/>
      <c r="J36" s="48"/>
      <c r="K36" s="48"/>
    </row>
    <row r="37" spans="1:11" x14ac:dyDescent="0.35">
      <c r="A37" s="14"/>
      <c r="B37" s="5"/>
      <c r="C37" s="9"/>
      <c r="D37" s="9"/>
      <c r="E37" s="6"/>
      <c r="F37" s="6"/>
      <c r="G37" s="6"/>
      <c r="H37" s="6"/>
      <c r="I37" s="48"/>
      <c r="J37" s="48"/>
      <c r="K37" s="48"/>
    </row>
    <row r="38" spans="1:11" x14ac:dyDescent="0.35">
      <c r="A38" s="61"/>
      <c r="B38" s="62" t="s">
        <v>169</v>
      </c>
      <c r="C38" s="63"/>
      <c r="D38" s="63"/>
      <c r="E38" s="64"/>
      <c r="F38" s="64"/>
      <c r="G38" s="64"/>
      <c r="H38" s="64"/>
      <c r="I38" s="65"/>
      <c r="J38" s="65"/>
      <c r="K38" s="65"/>
    </row>
    <row r="39" spans="1:11" x14ac:dyDescent="0.35">
      <c r="A39" s="14"/>
      <c r="B39" s="60" t="s">
        <v>170</v>
      </c>
      <c r="C39" s="57">
        <f t="shared" ref="C39:K39" si="12">C11</f>
        <v>2497750</v>
      </c>
      <c r="D39" s="57">
        <f t="shared" si="12"/>
        <v>2171687.5</v>
      </c>
      <c r="E39" s="57">
        <f t="shared" si="12"/>
        <v>1889674.375</v>
      </c>
      <c r="F39" s="57">
        <f t="shared" si="12"/>
        <v>1645589.21875</v>
      </c>
      <c r="G39" s="57">
        <f t="shared" si="12"/>
        <v>1434180.2359374999</v>
      </c>
      <c r="H39" s="57">
        <f t="shared" si="12"/>
        <v>1250939.6605468749</v>
      </c>
      <c r="I39" s="57">
        <f t="shared" si="12"/>
        <v>1091996.5254648435</v>
      </c>
      <c r="J39" s="57">
        <f t="shared" si="12"/>
        <v>954025.07924511691</v>
      </c>
      <c r="K39" s="57">
        <f t="shared" si="12"/>
        <v>834166.5466983493</v>
      </c>
    </row>
    <row r="40" spans="1:11" x14ac:dyDescent="0.35">
      <c r="A40" s="14"/>
      <c r="B40" s="60" t="s">
        <v>153</v>
      </c>
      <c r="C40" s="57">
        <f>C22+C23</f>
        <v>3358479.9999999995</v>
      </c>
      <c r="D40" s="57">
        <f t="shared" ref="D40:K40" si="13">D22+D23</f>
        <v>2965439.9999999991</v>
      </c>
      <c r="E40" s="57">
        <f t="shared" si="13"/>
        <v>2572399.9999999981</v>
      </c>
      <c r="F40" s="57">
        <f t="shared" si="13"/>
        <v>2179359.9999999986</v>
      </c>
      <c r="G40" s="57">
        <f t="shared" si="13"/>
        <v>1786319.9999999986</v>
      </c>
      <c r="H40" s="57">
        <f t="shared" si="13"/>
        <v>1393279.9999999986</v>
      </c>
      <c r="I40" s="57">
        <f t="shared" si="13"/>
        <v>1000000</v>
      </c>
      <c r="J40" s="57">
        <f t="shared" si="13"/>
        <v>1000000</v>
      </c>
      <c r="K40" s="57">
        <f t="shared" si="13"/>
        <v>1000000</v>
      </c>
    </row>
    <row r="41" spans="1:11" x14ac:dyDescent="0.35">
      <c r="A41" s="14"/>
      <c r="B41" s="60" t="s">
        <v>164</v>
      </c>
      <c r="C41" s="9">
        <f>C39/C40</f>
        <v>0.74371441842738395</v>
      </c>
      <c r="D41" s="9">
        <f t="shared" ref="D41:K41" si="14">D39/D40</f>
        <v>0.73233230144599137</v>
      </c>
      <c r="E41" s="9">
        <f t="shared" si="14"/>
        <v>0.73459585406624217</v>
      </c>
      <c r="F41" s="9">
        <f t="shared" si="14"/>
        <v>0.75507911439596997</v>
      </c>
      <c r="G41" s="9">
        <f t="shared" si="14"/>
        <v>0.80286859909618713</v>
      </c>
      <c r="H41" s="9">
        <f t="shared" si="14"/>
        <v>0.89783795112746623</v>
      </c>
      <c r="I41" s="9">
        <f t="shared" si="14"/>
        <v>1.0919965254648436</v>
      </c>
      <c r="J41" s="9">
        <f t="shared" si="14"/>
        <v>0.95402507924511692</v>
      </c>
      <c r="K41" s="9">
        <f t="shared" si="14"/>
        <v>0.83416654669834933</v>
      </c>
    </row>
    <row r="42" spans="1:11" x14ac:dyDescent="0.35">
      <c r="A42" s="14"/>
      <c r="B42" s="60"/>
      <c r="C42" s="9"/>
      <c r="D42" s="9"/>
      <c r="E42" s="6"/>
      <c r="F42" s="6">
        <f>AVERAGE(C41:K41)</f>
        <v>0.83851293221861678</v>
      </c>
      <c r="G42" s="6"/>
      <c r="H42" s="6"/>
      <c r="I42" s="6"/>
      <c r="J42" s="6"/>
      <c r="K42" s="6"/>
    </row>
    <row r="43" spans="1:11" x14ac:dyDescent="0.35">
      <c r="A43" s="14"/>
      <c r="B43" s="5"/>
      <c r="C43" s="9"/>
      <c r="D43" s="9"/>
      <c r="E43" s="6"/>
      <c r="F43" s="6"/>
      <c r="G43" s="6"/>
      <c r="H43" s="6"/>
      <c r="I43" s="48"/>
      <c r="J43" s="48"/>
      <c r="K43" s="48"/>
    </row>
    <row r="44" spans="1:11" x14ac:dyDescent="0.35">
      <c r="A44" s="61"/>
      <c r="B44" s="62" t="s">
        <v>161</v>
      </c>
      <c r="C44" s="63"/>
      <c r="D44" s="63"/>
      <c r="E44" s="64"/>
      <c r="F44" s="64"/>
      <c r="G44" s="64"/>
      <c r="H44" s="64"/>
      <c r="I44" s="65"/>
      <c r="J44" s="65"/>
      <c r="K44" s="65"/>
    </row>
    <row r="45" spans="1:11" x14ac:dyDescent="0.35">
      <c r="A45" s="14"/>
      <c r="B45" s="5" t="s">
        <v>162</v>
      </c>
      <c r="C45" s="58">
        <f>'Ann 4'!C28</f>
        <v>251826.09999999998</v>
      </c>
      <c r="D45" s="58">
        <f>'Ann 4'!D28</f>
        <v>232665.39999999994</v>
      </c>
      <c r="E45" s="58">
        <f>'Ann 4'!E28</f>
        <v>209082.99999999994</v>
      </c>
      <c r="F45" s="58">
        <f>'Ann 4'!F28</f>
        <v>185500.59999999992</v>
      </c>
      <c r="G45" s="58">
        <f>'Ann 4'!G28</f>
        <v>161918.1999999999</v>
      </c>
      <c r="H45" s="58">
        <f>'Ann 4'!H28</f>
        <v>138335.79999999993</v>
      </c>
      <c r="I45" s="58">
        <f>'Ann 4'!I28</f>
        <v>114753.39999999992</v>
      </c>
      <c r="J45" s="58">
        <f>'Ann 4'!J28</f>
        <v>100000</v>
      </c>
      <c r="K45" s="58">
        <f>'Ann 4'!K28</f>
        <v>100000</v>
      </c>
    </row>
    <row r="46" spans="1:11" x14ac:dyDescent="0.35">
      <c r="A46" s="14"/>
      <c r="B46" s="5" t="s">
        <v>165</v>
      </c>
      <c r="C46" s="58">
        <f>SUM('Ann 13'!D9:D12)*100000</f>
        <v>196520</v>
      </c>
      <c r="D46" s="58">
        <f>SUM('Ann 13'!D13:D16)*100000</f>
        <v>393040</v>
      </c>
      <c r="E46" s="18">
        <f>SUM('Ann 13'!D17:D20)*100000</f>
        <v>393040</v>
      </c>
      <c r="F46" s="18">
        <f>SUM('Ann 13'!D21:D24)*100000</f>
        <v>393040</v>
      </c>
      <c r="G46" s="18">
        <f>SUM('Ann 13'!D25:D28)*100000</f>
        <v>393040</v>
      </c>
      <c r="H46" s="18">
        <f>SUM('Ann 13'!D29:D32)*100000</f>
        <v>393040</v>
      </c>
      <c r="I46" s="18">
        <f>SUM('Ann 13'!D33:D36)*100000</f>
        <v>393279.99999999889</v>
      </c>
      <c r="J46" s="18">
        <v>0</v>
      </c>
      <c r="K46" s="18">
        <v>0</v>
      </c>
    </row>
    <row r="47" spans="1:11" x14ac:dyDescent="0.35">
      <c r="A47" s="14"/>
      <c r="B47" s="5" t="s">
        <v>8</v>
      </c>
      <c r="C47" s="58">
        <f>SUM(C45:C46)</f>
        <v>448346.1</v>
      </c>
      <c r="D47" s="58">
        <f t="shared" ref="D47:K47" si="15">SUM(D45:D46)</f>
        <v>625705.39999999991</v>
      </c>
      <c r="E47" s="18">
        <f t="shared" si="15"/>
        <v>602123</v>
      </c>
      <c r="F47" s="18">
        <f t="shared" si="15"/>
        <v>578540.59999999986</v>
      </c>
      <c r="G47" s="18">
        <f t="shared" si="15"/>
        <v>554958.19999999995</v>
      </c>
      <c r="H47" s="18">
        <f t="shared" si="15"/>
        <v>531375.79999999993</v>
      </c>
      <c r="I47" s="18">
        <f t="shared" si="15"/>
        <v>508033.3999999988</v>
      </c>
      <c r="J47" s="18">
        <f t="shared" si="15"/>
        <v>100000</v>
      </c>
      <c r="K47" s="18">
        <f t="shared" si="15"/>
        <v>100000</v>
      </c>
    </row>
    <row r="48" spans="1:11" x14ac:dyDescent="0.35">
      <c r="A48" s="14"/>
      <c r="B48" s="5" t="s">
        <v>163</v>
      </c>
      <c r="C48" s="58">
        <f>'Ann 4'!C23</f>
        <v>2972576.447999984</v>
      </c>
      <c r="D48" s="58">
        <f>'Ann 4'!D23</f>
        <v>7933233.1519999951</v>
      </c>
      <c r="E48" s="18">
        <f>'Ann 4'!E23</f>
        <v>8614182.0560000092</v>
      </c>
      <c r="F48" s="18">
        <f>'Ann 4'!F23</f>
        <v>9287335.3219999969</v>
      </c>
      <c r="G48" s="18">
        <f>'Ann 4'!G23</f>
        <v>9952253.4132200032</v>
      </c>
      <c r="H48" s="18">
        <f>'Ann 4'!H23</f>
        <v>10608471.732828185</v>
      </c>
      <c r="I48" s="18">
        <f>'Ann 4'!I23</f>
        <v>11255499.183987245</v>
      </c>
      <c r="J48" s="18">
        <f>'Ann 4'!J23</f>
        <v>11892816.6466465</v>
      </c>
      <c r="K48" s="18">
        <f>'Ann 4'!K23</f>
        <v>12519875.366241753</v>
      </c>
    </row>
    <row r="49" spans="1:11" x14ac:dyDescent="0.35">
      <c r="A49" s="50"/>
      <c r="B49" s="51" t="s">
        <v>164</v>
      </c>
      <c r="C49" s="11">
        <f>C48/C47</f>
        <v>6.6300932426979609</v>
      </c>
      <c r="D49" s="11">
        <f t="shared" ref="D49:K49" si="16">D48/D47</f>
        <v>12.678863171070597</v>
      </c>
      <c r="E49" s="52">
        <f t="shared" si="16"/>
        <v>14.306349460160149</v>
      </c>
      <c r="F49" s="52">
        <f t="shared" si="16"/>
        <v>16.053039876544531</v>
      </c>
      <c r="G49" s="52">
        <f t="shared" si="16"/>
        <v>17.933338786993335</v>
      </c>
      <c r="H49" s="52">
        <f t="shared" si="16"/>
        <v>19.964160454480965</v>
      </c>
      <c r="I49" s="52">
        <f t="shared" si="16"/>
        <v>22.155037806544357</v>
      </c>
      <c r="J49" s="52">
        <f t="shared" si="16"/>
        <v>118.928166466465</v>
      </c>
      <c r="K49" s="52">
        <f t="shared" si="16"/>
        <v>125.19875366241753</v>
      </c>
    </row>
    <row r="50" spans="1:11" x14ac:dyDescent="0.35">
      <c r="A50" s="5"/>
      <c r="B50" s="60" t="s">
        <v>168</v>
      </c>
      <c r="C50" s="5"/>
      <c r="D50" s="5"/>
      <c r="E50" s="5"/>
      <c r="F50" s="6">
        <f>AVERAGE(C49:D49)</f>
        <v>9.6544782068842796</v>
      </c>
      <c r="G50" s="5"/>
      <c r="H50" s="5"/>
      <c r="I50" s="5"/>
      <c r="J50" s="5"/>
      <c r="K50" s="5"/>
    </row>
    <row r="51" spans="1:11" x14ac:dyDescent="0.35">
      <c r="I51" s="16"/>
      <c r="J51" s="16"/>
      <c r="K51" s="16"/>
    </row>
    <row r="53" spans="1:11" x14ac:dyDescent="0.35">
      <c r="A53" t="s">
        <v>266</v>
      </c>
    </row>
    <row r="54" spans="1:11" x14ac:dyDescent="0.35">
      <c r="A54" t="s">
        <v>151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6"/>
  <sheetViews>
    <sheetView workbookViewId="0">
      <selection activeCell="D21" sqref="D21"/>
    </sheetView>
  </sheetViews>
  <sheetFormatPr defaultRowHeight="14.5" x14ac:dyDescent="0.35"/>
  <cols>
    <col min="1" max="1" width="5.6328125" bestFit="1" customWidth="1"/>
    <col min="2" max="2" width="26.08984375" bestFit="1" customWidth="1"/>
    <col min="4" max="4" width="25" bestFit="1" customWidth="1"/>
    <col min="5" max="5" width="12.54296875" bestFit="1" customWidth="1"/>
  </cols>
  <sheetData>
    <row r="1" spans="1:5" x14ac:dyDescent="0.35">
      <c r="A1" s="22" t="s">
        <v>173</v>
      </c>
    </row>
    <row r="3" spans="1:5" x14ac:dyDescent="0.35">
      <c r="A3" s="3" t="s">
        <v>174</v>
      </c>
    </row>
    <row r="5" spans="1:5" x14ac:dyDescent="0.35">
      <c r="A5" s="33" t="s">
        <v>56</v>
      </c>
      <c r="B5" s="33" t="s">
        <v>57</v>
      </c>
      <c r="C5" s="33" t="s">
        <v>58</v>
      </c>
      <c r="D5" s="33" t="s">
        <v>59</v>
      </c>
      <c r="E5" s="33" t="s">
        <v>60</v>
      </c>
    </row>
    <row r="6" spans="1:5" x14ac:dyDescent="0.35">
      <c r="A6" s="42" t="s">
        <v>61</v>
      </c>
      <c r="B6" s="42" t="s">
        <v>234</v>
      </c>
      <c r="C6" s="42">
        <v>3</v>
      </c>
      <c r="D6" s="29">
        <v>18000</v>
      </c>
      <c r="E6" s="29">
        <f>D6*C6*12</f>
        <v>648000</v>
      </c>
    </row>
    <row r="7" spans="1:5" x14ac:dyDescent="0.35">
      <c r="A7" s="12" t="s">
        <v>62</v>
      </c>
      <c r="B7" s="12" t="s">
        <v>65</v>
      </c>
      <c r="C7" s="12">
        <v>1</v>
      </c>
      <c r="D7" s="29">
        <v>26000</v>
      </c>
      <c r="E7" s="29">
        <f>D7*C7*12</f>
        <v>312000</v>
      </c>
    </row>
    <row r="8" spans="1:5" x14ac:dyDescent="0.35">
      <c r="A8" s="12" t="s">
        <v>66</v>
      </c>
      <c r="B8" s="12" t="s">
        <v>175</v>
      </c>
      <c r="C8" s="12">
        <v>1</v>
      </c>
      <c r="D8" s="29">
        <v>15000</v>
      </c>
      <c r="E8" s="29">
        <f>D8*C8*12</f>
        <v>180000</v>
      </c>
    </row>
    <row r="9" spans="1:5" x14ac:dyDescent="0.35">
      <c r="A9" s="94" t="s">
        <v>8</v>
      </c>
      <c r="B9" s="94"/>
      <c r="C9" s="94"/>
      <c r="D9" s="94"/>
      <c r="E9" s="41">
        <f>SUM(E6:E8)</f>
        <v>1140000</v>
      </c>
    </row>
    <row r="10" spans="1:5" x14ac:dyDescent="0.35">
      <c r="A10" s="44"/>
      <c r="B10" s="46"/>
      <c r="C10" s="46"/>
      <c r="D10" s="46"/>
      <c r="E10" s="47"/>
    </row>
    <row r="11" spans="1:5" x14ac:dyDescent="0.35">
      <c r="A11" s="50" t="s">
        <v>181</v>
      </c>
      <c r="B11" s="51"/>
      <c r="C11" s="51"/>
      <c r="D11" s="51"/>
      <c r="E11" s="53">
        <f>E9*20%</f>
        <v>228000</v>
      </c>
    </row>
    <row r="12" spans="1:5" x14ac:dyDescent="0.35">
      <c r="A12" s="13" t="s">
        <v>8</v>
      </c>
      <c r="B12" s="4"/>
      <c r="C12" s="4"/>
      <c r="D12" s="4"/>
      <c r="E12" s="54">
        <f>SUM(E9:E11)</f>
        <v>1368000</v>
      </c>
    </row>
    <row r="14" spans="1:5" x14ac:dyDescent="0.35">
      <c r="A14" t="s">
        <v>63</v>
      </c>
      <c r="E14" s="16">
        <f>E12</f>
        <v>1368000</v>
      </c>
    </row>
    <row r="15" spans="1:5" x14ac:dyDescent="0.35">
      <c r="A15" t="s">
        <v>64</v>
      </c>
      <c r="E15" s="25">
        <v>0.06</v>
      </c>
    </row>
    <row r="16" spans="1:5" x14ac:dyDescent="0.35">
      <c r="A16" t="s">
        <v>177</v>
      </c>
      <c r="E16">
        <f>SUM(C6:C8)</f>
        <v>5</v>
      </c>
    </row>
  </sheetData>
  <mergeCells count="1">
    <mergeCell ref="A9:D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sheetPr>
    <pageSetUpPr fitToPage="1"/>
  </sheetPr>
  <dimension ref="A1:F22"/>
  <sheetViews>
    <sheetView workbookViewId="0">
      <selection activeCell="D14" sqref="D14"/>
    </sheetView>
  </sheetViews>
  <sheetFormatPr defaultRowHeight="14.5" x14ac:dyDescent="0.35"/>
  <cols>
    <col min="1" max="1" width="4.54296875" bestFit="1" customWidth="1"/>
    <col min="2" max="2" width="18.81640625" bestFit="1" customWidth="1"/>
    <col min="3" max="3" width="19.453125" bestFit="1" customWidth="1"/>
    <col min="4" max="4" width="18.08984375" bestFit="1" customWidth="1"/>
    <col min="5" max="5" width="14.453125" bestFit="1" customWidth="1"/>
    <col min="6" max="6" width="26.453125" bestFit="1" customWidth="1"/>
  </cols>
  <sheetData>
    <row r="1" spans="1:6" x14ac:dyDescent="0.35">
      <c r="A1" s="22" t="s">
        <v>68</v>
      </c>
    </row>
    <row r="3" spans="1:6" x14ac:dyDescent="0.35">
      <c r="A3" s="3" t="s">
        <v>67</v>
      </c>
    </row>
    <row r="5" spans="1:6" x14ac:dyDescent="0.35">
      <c r="A5" s="33" t="s">
        <v>24</v>
      </c>
      <c r="B5" s="33" t="s">
        <v>3</v>
      </c>
      <c r="C5" s="33" t="s">
        <v>71</v>
      </c>
      <c r="D5" s="33" t="s">
        <v>11</v>
      </c>
      <c r="E5" s="33" t="s">
        <v>72</v>
      </c>
      <c r="F5" s="33" t="s">
        <v>73</v>
      </c>
    </row>
    <row r="6" spans="1:6" x14ac:dyDescent="0.35">
      <c r="A6" s="12" t="s">
        <v>61</v>
      </c>
      <c r="B6" s="12" t="s">
        <v>13</v>
      </c>
      <c r="C6" s="29">
        <f>'Ann 1'!C12*100000</f>
        <v>1080000</v>
      </c>
      <c r="D6" s="29">
        <f>('Ann 1'!C20+'Ann 1'!C37)*100000</f>
        <v>1795000</v>
      </c>
      <c r="E6" s="29">
        <v>0</v>
      </c>
      <c r="F6" s="12">
        <f>SUM(C6:E6)/100000</f>
        <v>28.75</v>
      </c>
    </row>
    <row r="7" spans="1:6" x14ac:dyDescent="0.35">
      <c r="A7" s="12" t="s">
        <v>62</v>
      </c>
      <c r="B7" s="12" t="s">
        <v>69</v>
      </c>
      <c r="C7" s="29">
        <v>0</v>
      </c>
      <c r="D7" s="29">
        <v>0</v>
      </c>
      <c r="E7" s="29">
        <v>0</v>
      </c>
      <c r="F7" s="29">
        <f>SUM(C7:E7)/100000</f>
        <v>0</v>
      </c>
    </row>
    <row r="8" spans="1:6" x14ac:dyDescent="0.35">
      <c r="A8" s="12" t="s">
        <v>66</v>
      </c>
      <c r="B8" s="12" t="s">
        <v>70</v>
      </c>
      <c r="C8" s="29">
        <v>0</v>
      </c>
      <c r="D8" s="29">
        <v>0</v>
      </c>
      <c r="E8" s="29">
        <v>0</v>
      </c>
      <c r="F8" s="29">
        <f>SUM(C8:E8)/100000</f>
        <v>0</v>
      </c>
    </row>
    <row r="9" spans="1:6" x14ac:dyDescent="0.35">
      <c r="A9" s="12"/>
      <c r="B9" s="94" t="s">
        <v>8</v>
      </c>
      <c r="C9" s="94"/>
      <c r="D9" s="94"/>
      <c r="E9" s="94"/>
      <c r="F9" s="12">
        <f>SUM(F6:F8)</f>
        <v>28.75</v>
      </c>
    </row>
    <row r="11" spans="1:6" x14ac:dyDescent="0.35">
      <c r="A11" s="33"/>
      <c r="B11" s="33" t="s">
        <v>74</v>
      </c>
      <c r="C11" s="88">
        <v>0.1</v>
      </c>
      <c r="D11" s="88">
        <v>0.15</v>
      </c>
      <c r="E11" s="88">
        <v>0.1</v>
      </c>
      <c r="F11" s="33" t="s">
        <v>233</v>
      </c>
    </row>
    <row r="12" spans="1:6" x14ac:dyDescent="0.35">
      <c r="A12" s="12"/>
      <c r="B12" s="12"/>
      <c r="C12" s="12"/>
      <c r="D12" s="12"/>
      <c r="E12" s="12"/>
      <c r="F12" s="12"/>
    </row>
    <row r="13" spans="1:6" x14ac:dyDescent="0.35">
      <c r="A13" s="86" t="s">
        <v>75</v>
      </c>
      <c r="B13" s="83">
        <v>1</v>
      </c>
      <c r="C13" s="87">
        <f>C11*C6</f>
        <v>108000</v>
      </c>
      <c r="D13" s="87">
        <f>D11*D6</f>
        <v>269250</v>
      </c>
      <c r="E13" s="87">
        <f>E11*E6</f>
        <v>0</v>
      </c>
      <c r="F13" s="87">
        <f>SUM(C13:E13)</f>
        <v>377250</v>
      </c>
    </row>
    <row r="14" spans="1:6" x14ac:dyDescent="0.35">
      <c r="A14" s="86" t="s">
        <v>75</v>
      </c>
      <c r="B14" s="83">
        <v>2</v>
      </c>
      <c r="C14" s="87">
        <f>(C6-C13)*C11</f>
        <v>97200</v>
      </c>
      <c r="D14" s="87">
        <f>(D6-D13)*D11</f>
        <v>228862.5</v>
      </c>
      <c r="E14" s="87">
        <f>(E6-E13)*E11</f>
        <v>0</v>
      </c>
      <c r="F14" s="87">
        <f>SUM(C14:E14)</f>
        <v>326062.5</v>
      </c>
    </row>
    <row r="15" spans="1:6" x14ac:dyDescent="0.35">
      <c r="A15" s="86" t="s">
        <v>75</v>
      </c>
      <c r="B15" s="83">
        <v>3</v>
      </c>
      <c r="C15" s="87">
        <f>(C6-C13-C14)*C11</f>
        <v>87480</v>
      </c>
      <c r="D15" s="87">
        <f>(D6-D13-D14)*D11</f>
        <v>194533.125</v>
      </c>
      <c r="E15" s="87">
        <f>(E6-E13-E14)*E11</f>
        <v>0</v>
      </c>
      <c r="F15" s="87">
        <f t="shared" ref="F15:F21" si="0">SUM(C15:E15)</f>
        <v>282013.125</v>
      </c>
    </row>
    <row r="16" spans="1:6" x14ac:dyDescent="0.35">
      <c r="A16" s="86" t="s">
        <v>75</v>
      </c>
      <c r="B16" s="83">
        <v>4</v>
      </c>
      <c r="C16" s="87">
        <f>(C6-C13-C14-C15)*C11</f>
        <v>78732</v>
      </c>
      <c r="D16" s="87">
        <f>(D6-D13-D14-D15)*D11</f>
        <v>165353.15625</v>
      </c>
      <c r="E16" s="87">
        <f>(E6-E13-E14-E15)*E11</f>
        <v>0</v>
      </c>
      <c r="F16" s="87">
        <f t="shared" si="0"/>
        <v>244085.15625</v>
      </c>
    </row>
    <row r="17" spans="1:6" x14ac:dyDescent="0.35">
      <c r="A17" s="86" t="s">
        <v>75</v>
      </c>
      <c r="B17" s="83">
        <v>5</v>
      </c>
      <c r="C17" s="87">
        <f>(C6-C13-C14-C15-C16)*C11</f>
        <v>70858.8</v>
      </c>
      <c r="D17" s="87">
        <f>(D6-D13-D14-D15-D16)*D11</f>
        <v>140550.18281249999</v>
      </c>
      <c r="E17" s="87">
        <f>(E6-E13-E14-E15-E16)*E11</f>
        <v>0</v>
      </c>
      <c r="F17" s="87">
        <f t="shared" si="0"/>
        <v>211408.98281249998</v>
      </c>
    </row>
    <row r="18" spans="1:6" x14ac:dyDescent="0.35">
      <c r="A18" s="86" t="s">
        <v>75</v>
      </c>
      <c r="B18" s="83">
        <v>6</v>
      </c>
      <c r="C18" s="87">
        <f>(C6-C13-C14-C15-C16-C17)*C11</f>
        <v>63772.92</v>
      </c>
      <c r="D18" s="87">
        <f>(D6-D13-D14-D15-D16-D17)*D11</f>
        <v>119467.65539062499</v>
      </c>
      <c r="E18" s="87">
        <f>(E6-E13-E14-E15-E16-E17)*E11</f>
        <v>0</v>
      </c>
      <c r="F18" s="87">
        <f t="shared" si="0"/>
        <v>183240.57539062499</v>
      </c>
    </row>
    <row r="19" spans="1:6" x14ac:dyDescent="0.35">
      <c r="A19" s="86" t="s">
        <v>75</v>
      </c>
      <c r="B19" s="83">
        <v>7</v>
      </c>
      <c r="C19" s="87">
        <f>(C6-C13-C14-C15-C16-C17-C18)*C11</f>
        <v>57395.627999999997</v>
      </c>
      <c r="D19" s="87">
        <f>(D6-D13-D14-D15-D16-D17-D18)*D11</f>
        <v>101547.50708203124</v>
      </c>
      <c r="E19" s="87">
        <f>(E6-E13-E14-E15-E16-E17-E18)*E11</f>
        <v>0</v>
      </c>
      <c r="F19" s="87">
        <f t="shared" si="0"/>
        <v>158943.13508203125</v>
      </c>
    </row>
    <row r="20" spans="1:6" x14ac:dyDescent="0.35">
      <c r="A20" s="86" t="s">
        <v>75</v>
      </c>
      <c r="B20" s="83">
        <v>8</v>
      </c>
      <c r="C20" s="87">
        <f>(C6-C13-C14-C15-C16-C17-C18-C19)*C11</f>
        <v>51656.06519999999</v>
      </c>
      <c r="D20" s="87">
        <f>(D6-D13-D14-D15-D16-D17-D18-D19)*D11</f>
        <v>86315.381019726556</v>
      </c>
      <c r="E20" s="87">
        <f>(E6-E13-E14-E15-E16-E17-E18-E19)*E11</f>
        <v>0</v>
      </c>
      <c r="F20" s="87">
        <f t="shared" si="0"/>
        <v>137971.44621972655</v>
      </c>
    </row>
    <row r="21" spans="1:6" x14ac:dyDescent="0.35">
      <c r="A21" s="86" t="s">
        <v>75</v>
      </c>
      <c r="B21" s="83">
        <v>9</v>
      </c>
      <c r="C21" s="87">
        <f>(C6-C13-C14-C15-C16-C17-C18-C19-C20)*C11</f>
        <v>46490.458679999989</v>
      </c>
      <c r="D21" s="87">
        <f>(D6-D13-D14-D15-D16-D17-D18-D19-D20)*D11</f>
        <v>73368.073866767576</v>
      </c>
      <c r="E21" s="87">
        <f>(E6-E13-E14-E15-E16-E17-E18-E19-E20)*E11</f>
        <v>0</v>
      </c>
      <c r="F21" s="87">
        <f t="shared" si="0"/>
        <v>119858.53254676756</v>
      </c>
    </row>
    <row r="22" spans="1:6" x14ac:dyDescent="0.35">
      <c r="B22" s="1"/>
    </row>
  </sheetData>
  <mergeCells count="1">
    <mergeCell ref="B9:E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A15" sqref="A15"/>
    </sheetView>
  </sheetViews>
  <sheetFormatPr defaultRowHeight="14.5" x14ac:dyDescent="0.35"/>
  <cols>
    <col min="1" max="1" width="18" bestFit="1" customWidth="1"/>
    <col min="2" max="10" width="13.6328125" bestFit="1" customWidth="1"/>
  </cols>
  <sheetData>
    <row r="1" spans="1:10" x14ac:dyDescent="0.35">
      <c r="A1" s="22" t="s">
        <v>121</v>
      </c>
    </row>
    <row r="3" spans="1:10" x14ac:dyDescent="0.35">
      <c r="A3" s="3" t="s">
        <v>122</v>
      </c>
    </row>
    <row r="5" spans="1:10" x14ac:dyDescent="0.35">
      <c r="A5" s="93" t="s">
        <v>3</v>
      </c>
      <c r="B5" s="93" t="s">
        <v>52</v>
      </c>
      <c r="C5" s="93"/>
      <c r="D5" s="93"/>
      <c r="E5" s="93"/>
      <c r="F5" s="93"/>
      <c r="G5" s="93"/>
      <c r="H5" s="93"/>
      <c r="I5" s="93"/>
      <c r="J5" s="93"/>
    </row>
    <row r="6" spans="1:10" x14ac:dyDescent="0.35">
      <c r="A6" s="93"/>
      <c r="B6" s="33" t="s">
        <v>43</v>
      </c>
      <c r="C6" s="33" t="s">
        <v>44</v>
      </c>
      <c r="D6" s="33" t="s">
        <v>45</v>
      </c>
      <c r="E6" s="33" t="s">
        <v>46</v>
      </c>
      <c r="F6" s="33" t="s">
        <v>47</v>
      </c>
      <c r="G6" s="33" t="s">
        <v>48</v>
      </c>
      <c r="H6" s="33" t="s">
        <v>49</v>
      </c>
      <c r="I6" s="33" t="s">
        <v>50</v>
      </c>
      <c r="J6" s="33" t="s">
        <v>51</v>
      </c>
    </row>
    <row r="7" spans="1:10" x14ac:dyDescent="0.35">
      <c r="A7" s="12" t="s">
        <v>123</v>
      </c>
      <c r="B7" s="29">
        <f>'Ann 4'!C30</f>
        <v>2720750.3479999839</v>
      </c>
      <c r="C7" s="29">
        <f>'Ann 4'!D30</f>
        <v>7700567.7519999947</v>
      </c>
      <c r="D7" s="29">
        <f>'Ann 4'!E30</f>
        <v>8405099.0560000092</v>
      </c>
      <c r="E7" s="29">
        <f>'Ann 4'!F30</f>
        <v>9101834.7219999973</v>
      </c>
      <c r="F7" s="29">
        <f>'Ann 4'!G30</f>
        <v>9790335.213220004</v>
      </c>
      <c r="G7" s="29">
        <f>'Ann 4'!H30</f>
        <v>10470135.932828184</v>
      </c>
      <c r="H7" s="29">
        <f>'Ann 4'!I30</f>
        <v>11140745.783987245</v>
      </c>
      <c r="I7" s="29">
        <f>'Ann 4'!J30</f>
        <v>11792816.6466465</v>
      </c>
      <c r="J7" s="29">
        <f>'Ann 4'!K30</f>
        <v>12419875.366241753</v>
      </c>
    </row>
    <row r="8" spans="1:10" x14ac:dyDescent="0.35">
      <c r="A8" s="12" t="s">
        <v>124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</row>
    <row r="9" spans="1:10" x14ac:dyDescent="0.35">
      <c r="A9" s="12" t="s">
        <v>125</v>
      </c>
      <c r="B9" s="29">
        <f>B7+B8</f>
        <v>2720750.3479999839</v>
      </c>
      <c r="C9" s="29">
        <f t="shared" ref="C9:J9" si="0">C7+C8</f>
        <v>7700567.7519999947</v>
      </c>
      <c r="D9" s="29">
        <f t="shared" si="0"/>
        <v>8405099.0560000092</v>
      </c>
      <c r="E9" s="29">
        <f t="shared" si="0"/>
        <v>9101834.7219999973</v>
      </c>
      <c r="F9" s="29">
        <f t="shared" si="0"/>
        <v>9790335.213220004</v>
      </c>
      <c r="G9" s="29">
        <f t="shared" si="0"/>
        <v>10470135.932828184</v>
      </c>
      <c r="H9" s="29">
        <f t="shared" si="0"/>
        <v>11140745.783987245</v>
      </c>
      <c r="I9" s="29">
        <f t="shared" si="0"/>
        <v>11792816.6466465</v>
      </c>
      <c r="J9" s="29">
        <f t="shared" si="0"/>
        <v>12419875.366241753</v>
      </c>
    </row>
    <row r="10" spans="1:10" x14ac:dyDescent="0.35">
      <c r="A10" s="12" t="s">
        <v>126</v>
      </c>
      <c r="B10" s="29">
        <f>SUM('Ann 9'!C13:E13)</f>
        <v>377250</v>
      </c>
      <c r="C10" s="29">
        <f>SUM('Ann 9'!C14:E14)</f>
        <v>326062.5</v>
      </c>
      <c r="D10" s="29">
        <f>SUM('Ann 9'!C15:E15)</f>
        <v>282013.125</v>
      </c>
      <c r="E10" s="29">
        <f>SUM('Ann 9'!C16:E16)</f>
        <v>244085.15625</v>
      </c>
      <c r="F10" s="29">
        <f>SUM('Ann 9'!C17:E17)</f>
        <v>211408.98281249998</v>
      </c>
      <c r="G10" s="29">
        <f>SUM('Ann 9'!C18:E18)</f>
        <v>183240.57539062499</v>
      </c>
      <c r="H10" s="29">
        <f>SUM('Ann 9'!C19:E19)</f>
        <v>158943.13508203125</v>
      </c>
      <c r="I10" s="29">
        <f>SUM('Ann 9'!C20:E20)</f>
        <v>137971.44621972655</v>
      </c>
      <c r="J10" s="29">
        <f>SUM('Ann 9'!C21:E21)</f>
        <v>119858.53254676756</v>
      </c>
    </row>
    <row r="11" spans="1:10" x14ac:dyDescent="0.35">
      <c r="A11" s="12" t="s">
        <v>125</v>
      </c>
      <c r="B11" s="29">
        <f>B9-B10</f>
        <v>2343500.3479999839</v>
      </c>
      <c r="C11" s="29">
        <f t="shared" ref="C11:J11" si="1">C9-C10</f>
        <v>7374505.2519999947</v>
      </c>
      <c r="D11" s="29">
        <f t="shared" si="1"/>
        <v>8123085.9310000092</v>
      </c>
      <c r="E11" s="29">
        <f t="shared" si="1"/>
        <v>8857749.5657499973</v>
      </c>
      <c r="F11" s="29">
        <f t="shared" si="1"/>
        <v>9578926.2304075044</v>
      </c>
      <c r="G11" s="29">
        <f t="shared" si="1"/>
        <v>10286895.357437558</v>
      </c>
      <c r="H11" s="29">
        <f t="shared" si="1"/>
        <v>10981802.648905214</v>
      </c>
      <c r="I11" s="29">
        <f t="shared" si="1"/>
        <v>11654845.200426772</v>
      </c>
      <c r="J11" s="29">
        <f t="shared" si="1"/>
        <v>12300016.833694985</v>
      </c>
    </row>
    <row r="12" spans="1:10" x14ac:dyDescent="0.35">
      <c r="A12" s="12" t="s">
        <v>127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</row>
    <row r="13" spans="1:10" x14ac:dyDescent="0.35">
      <c r="A13" s="12" t="s">
        <v>128</v>
      </c>
      <c r="B13" s="41">
        <f>B11</f>
        <v>2343500.3479999839</v>
      </c>
      <c r="C13" s="41">
        <f t="shared" ref="C13:J13" si="2">C11</f>
        <v>7374505.2519999947</v>
      </c>
      <c r="D13" s="41">
        <f t="shared" si="2"/>
        <v>8123085.9310000092</v>
      </c>
      <c r="E13" s="41">
        <f t="shared" si="2"/>
        <v>8857749.5657499973</v>
      </c>
      <c r="F13" s="41">
        <f t="shared" si="2"/>
        <v>9578926.2304075044</v>
      </c>
      <c r="G13" s="41">
        <f t="shared" si="2"/>
        <v>10286895.357437558</v>
      </c>
      <c r="H13" s="41">
        <f t="shared" si="2"/>
        <v>10981802.648905214</v>
      </c>
      <c r="I13" s="41">
        <f t="shared" si="2"/>
        <v>11654845.200426772</v>
      </c>
      <c r="J13" s="41">
        <f t="shared" si="2"/>
        <v>12300016.833694985</v>
      </c>
    </row>
    <row r="14" spans="1:10" x14ac:dyDescent="0.35">
      <c r="A14" s="12" t="s">
        <v>129</v>
      </c>
      <c r="B14" s="41">
        <f>B13*30%</f>
        <v>703050.10439999518</v>
      </c>
      <c r="C14" s="41">
        <f t="shared" ref="C14:J14" si="3">C13*30%</f>
        <v>2212351.5755999982</v>
      </c>
      <c r="D14" s="41">
        <f t="shared" si="3"/>
        <v>2436925.7793000028</v>
      </c>
      <c r="E14" s="41">
        <f t="shared" si="3"/>
        <v>2657324.8697249992</v>
      </c>
      <c r="F14" s="41">
        <f t="shared" si="3"/>
        <v>2873677.8691222514</v>
      </c>
      <c r="G14" s="41">
        <f t="shared" si="3"/>
        <v>3086068.6072312673</v>
      </c>
      <c r="H14" s="41">
        <f t="shared" si="3"/>
        <v>3294540.7946715639</v>
      </c>
      <c r="I14" s="41">
        <f t="shared" si="3"/>
        <v>3496453.5601280318</v>
      </c>
      <c r="J14" s="41">
        <f t="shared" si="3"/>
        <v>3690005.0501084956</v>
      </c>
    </row>
  </sheetData>
  <mergeCells count="2">
    <mergeCell ref="B5:J5"/>
    <mergeCell ref="A5:A6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Contents</vt:lpstr>
      <vt:lpstr>Ann 1</vt:lpstr>
      <vt:lpstr>Ann 2</vt:lpstr>
      <vt:lpstr>Ann 3</vt:lpstr>
      <vt:lpstr>Ann 4</vt:lpstr>
      <vt:lpstr>Ann 5</vt:lpstr>
      <vt:lpstr>Ann 8</vt:lpstr>
      <vt:lpstr>Ann 9</vt:lpstr>
      <vt:lpstr>Ann 10</vt:lpstr>
      <vt:lpstr>Ann 11</vt:lpstr>
      <vt:lpstr>Ann 12</vt:lpstr>
      <vt:lpstr>Ann 13</vt:lpstr>
      <vt:lpstr>Budgets</vt:lpstr>
      <vt:lpstr>Cash flows</vt:lpstr>
      <vt:lpstr>Assumptions</vt:lpstr>
      <vt:lpstr>For word file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2021-07-15T07:46:09Z</cp:lastPrinted>
  <dcterms:created xsi:type="dcterms:W3CDTF">2021-07-04T07:21:16Z</dcterms:created>
  <dcterms:modified xsi:type="dcterms:W3CDTF">2021-07-15T07:53:34Z</dcterms:modified>
</cp:coreProperties>
</file>