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uncle's bid for work\5. Solar cold storage\"/>
    </mc:Choice>
  </mc:AlternateContent>
  <xr:revisionPtr revIDLastSave="0" documentId="13_ncr:1_{DD5D9B66-7B81-4D66-B047-ED158DA53601}"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4" sheetId="4" r:id="rId4"/>
    <sheet name="Ann 5" sheetId="7" r:id="rId5"/>
    <sheet name="Ann 8" sheetId="9" r:id="rId6"/>
    <sheet name="Ann 9" sheetId="10" r:id="rId7"/>
    <sheet name="Ann 10" sheetId="13" r:id="rId8"/>
    <sheet name="Ann 11" sheetId="11" r:id="rId9"/>
    <sheet name="Ann 12" sheetId="12" state="hidden" r:id="rId10"/>
    <sheet name="Ann 13" sheetId="14" r:id="rId11"/>
    <sheet name="For word file" sheetId="20" state="hidden" r:id="rId12"/>
    <sheet name="Cash flows" sheetId="18" r:id="rId13"/>
    <sheet name="Budgets" sheetId="19" r:id="rId14"/>
    <sheet name="Assumptions" sheetId="22" r:id="rId15"/>
    <sheet name="Sheet1" sheetId="15" state="hidden" r:id="rId16"/>
  </sheets>
  <externalReferences>
    <externalReference r:id="rId17"/>
    <externalReference r:id="rId18"/>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9" l="1"/>
  <c r="E16" i="19"/>
  <c r="F16" i="19"/>
  <c r="G16" i="19"/>
  <c r="H16" i="19"/>
  <c r="I16" i="19"/>
  <c r="J16" i="19"/>
  <c r="C16" i="19"/>
  <c r="H26" i="4" l="1"/>
  <c r="G15" i="18"/>
  <c r="D5" i="14"/>
  <c r="C6" i="2"/>
  <c r="A9" i="21"/>
  <c r="A16" i="21"/>
  <c r="A15" i="21"/>
  <c r="A14" i="21"/>
  <c r="A13" i="21"/>
  <c r="A12" i="21"/>
  <c r="A11" i="21"/>
  <c r="A10" i="21"/>
  <c r="A8" i="21"/>
  <c r="A7" i="21"/>
  <c r="A6" i="21"/>
  <c r="A5" i="21"/>
  <c r="A4" i="21"/>
  <c r="D15" i="11" l="1"/>
  <c r="E9" i="11"/>
  <c r="I38" i="7"/>
  <c r="J38" i="7"/>
  <c r="K38" i="7"/>
  <c r="D21" i="7"/>
  <c r="E21" i="7"/>
  <c r="E26" i="7" s="1"/>
  <c r="F21" i="7"/>
  <c r="F26" i="7" s="1"/>
  <c r="C21" i="7"/>
  <c r="D26" i="7"/>
  <c r="C25" i="1"/>
  <c r="B9" i="19"/>
  <c r="C9" i="4"/>
  <c r="D9" i="4" s="1"/>
  <c r="E9" i="4" s="1"/>
  <c r="F9" i="4" s="1"/>
  <c r="G9" i="4" s="1"/>
  <c r="H9" i="4" s="1"/>
  <c r="I9" i="4" s="1"/>
  <c r="J9" i="4" s="1"/>
  <c r="K9" i="4" s="1"/>
  <c r="K21" i="7" s="1"/>
  <c r="C26" i="1"/>
  <c r="C8" i="4"/>
  <c r="D8" i="4" s="1"/>
  <c r="D6" i="10"/>
  <c r="C8" i="2"/>
  <c r="C24" i="1"/>
  <c r="C6" i="19"/>
  <c r="C7" i="19" s="1"/>
  <c r="D6" i="19"/>
  <c r="E6" i="19"/>
  <c r="F6" i="19"/>
  <c r="G6" i="19"/>
  <c r="G7" i="19" s="1"/>
  <c r="H6" i="19"/>
  <c r="I6" i="19"/>
  <c r="J6" i="19"/>
  <c r="J7" i="19" s="1"/>
  <c r="K6" i="19"/>
  <c r="K7" i="19" s="1"/>
  <c r="L6" i="19"/>
  <c r="M6" i="19"/>
  <c r="M7" i="19" s="1"/>
  <c r="B6" i="19"/>
  <c r="B7" i="19" s="1"/>
  <c r="D7" i="19"/>
  <c r="E7" i="19"/>
  <c r="F7" i="19"/>
  <c r="H7" i="19"/>
  <c r="I7" i="19"/>
  <c r="L7" i="19"/>
  <c r="E44" i="7"/>
  <c r="F44" i="7"/>
  <c r="G44" i="7"/>
  <c r="H44" i="7"/>
  <c r="I44" i="7"/>
  <c r="J44" i="7"/>
  <c r="K44" i="7"/>
  <c r="B19" i="18"/>
  <c r="J19" i="18"/>
  <c r="I19" i="18"/>
  <c r="H19" i="18"/>
  <c r="G19" i="18"/>
  <c r="F19" i="18"/>
  <c r="E19" i="18"/>
  <c r="D19" i="18"/>
  <c r="C19" i="18"/>
  <c r="J21" i="7" l="1"/>
  <c r="J26" i="7" s="1"/>
  <c r="I21" i="7"/>
  <c r="I26" i="7" s="1"/>
  <c r="H21" i="7"/>
  <c r="H26" i="7" s="1"/>
  <c r="G21" i="7"/>
  <c r="G26" i="7" s="1"/>
  <c r="K26" i="7"/>
  <c r="C10" i="4"/>
  <c r="D10" i="4"/>
  <c r="E8" i="4"/>
  <c r="C27" i="1"/>
  <c r="G15" i="19"/>
  <c r="H17" i="4" s="1"/>
  <c r="G5" i="18" s="1"/>
  <c r="C15" i="19"/>
  <c r="D17" i="4" s="1"/>
  <c r="C5" i="18" s="1"/>
  <c r="B15" i="19"/>
  <c r="B16" i="19" s="1"/>
  <c r="H15" i="19"/>
  <c r="I17" i="4" s="1"/>
  <c r="H5" i="18" s="1"/>
  <c r="I15" i="19"/>
  <c r="J17" i="4" s="1"/>
  <c r="I5" i="18" s="1"/>
  <c r="E15" i="19"/>
  <c r="F17" i="4" s="1"/>
  <c r="E5" i="18" s="1"/>
  <c r="J15" i="19"/>
  <c r="K17" i="4" s="1"/>
  <c r="J5" i="18" s="1"/>
  <c r="C17" i="4" l="1"/>
  <c r="B5" i="18" s="1"/>
  <c r="E5" i="11"/>
  <c r="F8" i="4"/>
  <c r="E10" i="4"/>
  <c r="F15" i="19"/>
  <c r="G17" i="4" s="1"/>
  <c r="F5" i="18" s="1"/>
  <c r="D15" i="19"/>
  <c r="E17" i="4" s="1"/>
  <c r="D5" i="18" s="1"/>
  <c r="F10" i="4" l="1"/>
  <c r="G8" i="4"/>
  <c r="D3" i="20"/>
  <c r="C3" i="20"/>
  <c r="G10" i="4" l="1"/>
  <c r="H8" i="4"/>
  <c r="B3" i="20"/>
  <c r="E6" i="11"/>
  <c r="E3" i="20"/>
  <c r="H3" i="20"/>
  <c r="J3" i="20"/>
  <c r="G3" i="20"/>
  <c r="I3" i="20"/>
  <c r="F3" i="20"/>
  <c r="B20" i="18"/>
  <c r="H10" i="4" l="1"/>
  <c r="I8" i="4"/>
  <c r="B21" i="18"/>
  <c r="J8" i="4" l="1"/>
  <c r="I10" i="4"/>
  <c r="J10" i="4" l="1"/>
  <c r="K8" i="4"/>
  <c r="K10" i="4" s="1"/>
  <c r="D13" i="14" l="1"/>
  <c r="J22" i="4"/>
  <c r="K22" i="4"/>
  <c r="J9" i="18" s="1"/>
  <c r="B15" i="18"/>
  <c r="C6" i="18"/>
  <c r="D14" i="14" l="1"/>
  <c r="D15" i="14" s="1"/>
  <c r="D16" i="14" s="1"/>
  <c r="D17" i="14" s="1"/>
  <c r="D18" i="14" s="1"/>
  <c r="C44" i="7"/>
  <c r="I9" i="18"/>
  <c r="J43" i="7"/>
  <c r="K43" i="7"/>
  <c r="C26" i="7"/>
  <c r="E6" i="9"/>
  <c r="E12" i="9"/>
  <c r="D19" i="14" l="1"/>
  <c r="D20" i="14" s="1"/>
  <c r="D21" i="14" s="1"/>
  <c r="D22" i="14" s="1"/>
  <c r="C15" i="18"/>
  <c r="D6" i="18"/>
  <c r="D15" i="18" l="1"/>
  <c r="D23" i="14"/>
  <c r="D24" i="14" s="1"/>
  <c r="D25" i="14" s="1"/>
  <c r="D26" i="14" s="1"/>
  <c r="E6" i="18"/>
  <c r="D4" i="14"/>
  <c r="C11" i="14" s="1"/>
  <c r="E11" i="14" s="1"/>
  <c r="E12" i="10"/>
  <c r="I31" i="7"/>
  <c r="J31" i="7"/>
  <c r="K31" i="7"/>
  <c r="J45" i="7"/>
  <c r="K45" i="7"/>
  <c r="C12" i="10"/>
  <c r="D12" i="10"/>
  <c r="D13" i="10" s="1"/>
  <c r="F8" i="10"/>
  <c r="F7" i="10"/>
  <c r="E7" i="9"/>
  <c r="E15" i="18" l="1"/>
  <c r="C9" i="7"/>
  <c r="F6" i="10"/>
  <c r="F9" i="10" s="1"/>
  <c r="F12" i="10"/>
  <c r="C25" i="4"/>
  <c r="C7" i="15"/>
  <c r="D27" i="14"/>
  <c r="E8" i="9"/>
  <c r="E10" i="9" s="1"/>
  <c r="C13" i="4" s="1"/>
  <c r="B8" i="18" s="1"/>
  <c r="F6" i="18"/>
  <c r="C10" i="7"/>
  <c r="B10" i="13"/>
  <c r="C13" i="10"/>
  <c r="C3" i="15"/>
  <c r="C10" i="14"/>
  <c r="E10" i="14" s="1"/>
  <c r="C12" i="14"/>
  <c r="E12" i="14" s="1"/>
  <c r="E13" i="10"/>
  <c r="K6" i="12"/>
  <c r="E5" i="12"/>
  <c r="H6" i="12"/>
  <c r="E6" i="12"/>
  <c r="D6" i="12"/>
  <c r="F6" i="12"/>
  <c r="F5" i="12"/>
  <c r="G5" i="12"/>
  <c r="I6" i="12"/>
  <c r="D14" i="10"/>
  <c r="F13" i="10" l="1"/>
  <c r="C11" i="7"/>
  <c r="D9" i="7" s="1"/>
  <c r="D28" i="14"/>
  <c r="C13" i="14"/>
  <c r="E13" i="14" s="1"/>
  <c r="D44" i="7" s="1"/>
  <c r="F3" i="15"/>
  <c r="G6" i="18"/>
  <c r="C14" i="10"/>
  <c r="F14" i="10" s="1"/>
  <c r="C10" i="13"/>
  <c r="D25" i="4"/>
  <c r="D10" i="7"/>
  <c r="E3" i="15"/>
  <c r="D3" i="15"/>
  <c r="E14" i="10"/>
  <c r="H5" i="12"/>
  <c r="J5" i="12"/>
  <c r="C6" i="12"/>
  <c r="J6" i="12"/>
  <c r="D5" i="12"/>
  <c r="I5" i="12"/>
  <c r="C5" i="12"/>
  <c r="G6" i="12"/>
  <c r="K5" i="12"/>
  <c r="D15" i="10"/>
  <c r="D16" i="10" s="1"/>
  <c r="D17" i="10" s="1"/>
  <c r="E10" i="11" l="1"/>
  <c r="C16" i="7"/>
  <c r="C37" i="7"/>
  <c r="D29" i="14"/>
  <c r="C14" i="14"/>
  <c r="H6" i="18"/>
  <c r="D11" i="7"/>
  <c r="D37" i="7" s="1"/>
  <c r="E25" i="4"/>
  <c r="E10" i="7"/>
  <c r="D10" i="13"/>
  <c r="C15" i="10"/>
  <c r="E15" i="10"/>
  <c r="D18" i="10"/>
  <c r="E8" i="11" l="1"/>
  <c r="D13" i="4"/>
  <c r="E14" i="14"/>
  <c r="C15" i="14"/>
  <c r="C16" i="14" s="1"/>
  <c r="C17" i="14" s="1"/>
  <c r="C18" i="14" s="1"/>
  <c r="C19" i="14" s="1"/>
  <c r="C20" i="14" s="1"/>
  <c r="C21" i="14" s="1"/>
  <c r="C22" i="14" s="1"/>
  <c r="C23" i="14" s="1"/>
  <c r="C24" i="14" s="1"/>
  <c r="C25" i="14" s="1"/>
  <c r="C26" i="14" s="1"/>
  <c r="C27" i="14" s="1"/>
  <c r="C28" i="14" s="1"/>
  <c r="C29" i="14" s="1"/>
  <c r="C30" i="14" s="1"/>
  <c r="C14" i="4"/>
  <c r="F15" i="10"/>
  <c r="C21" i="4"/>
  <c r="C22" i="4" s="1"/>
  <c r="D30" i="14"/>
  <c r="F15" i="18"/>
  <c r="C20" i="7"/>
  <c r="C38" i="7" s="1"/>
  <c r="G3" i="15"/>
  <c r="I6" i="18"/>
  <c r="E9" i="7"/>
  <c r="E11" i="7" s="1"/>
  <c r="E37" i="7" s="1"/>
  <c r="F10" i="7"/>
  <c r="E10" i="13"/>
  <c r="F25" i="4"/>
  <c r="C16" i="10"/>
  <c r="C17" i="10" s="1"/>
  <c r="E16" i="10"/>
  <c r="D19" i="10"/>
  <c r="D20" i="10" s="1"/>
  <c r="E15" i="14" l="1"/>
  <c r="E13" i="4"/>
  <c r="C8" i="18"/>
  <c r="D14" i="4"/>
  <c r="D16" i="4" s="1"/>
  <c r="C31" i="14"/>
  <c r="C16" i="4"/>
  <c r="C18" i="4" s="1"/>
  <c r="C24" i="4" s="1"/>
  <c r="F16" i="10"/>
  <c r="C43" i="7"/>
  <c r="C45" i="7" s="1"/>
  <c r="B9" i="18"/>
  <c r="B10" i="18" s="1"/>
  <c r="E14" i="4"/>
  <c r="D31" i="14"/>
  <c r="C39" i="7"/>
  <c r="C31" i="7"/>
  <c r="E16" i="14"/>
  <c r="J6" i="18"/>
  <c r="H3" i="15"/>
  <c r="F9" i="7"/>
  <c r="F11" i="7" s="1"/>
  <c r="F37" i="7" s="1"/>
  <c r="G10" i="7"/>
  <c r="F10" i="13"/>
  <c r="G25" i="4"/>
  <c r="C18" i="10"/>
  <c r="E17" i="10"/>
  <c r="H25" i="4" s="1"/>
  <c r="F13" i="4" l="1"/>
  <c r="F14" i="4" s="1"/>
  <c r="D8" i="18"/>
  <c r="C27" i="4"/>
  <c r="B7" i="20" s="1"/>
  <c r="B4" i="20"/>
  <c r="B5" i="20" s="1"/>
  <c r="B6" i="20" s="1"/>
  <c r="C32" i="14"/>
  <c r="C46" i="7"/>
  <c r="C47" i="7" s="1"/>
  <c r="F17" i="10"/>
  <c r="D18" i="4"/>
  <c r="D46" i="7" s="1"/>
  <c r="C4" i="20"/>
  <c r="B7" i="13"/>
  <c r="B9" i="13" s="1"/>
  <c r="B11" i="13" s="1"/>
  <c r="B13" i="13" s="1"/>
  <c r="B14" i="13" s="1"/>
  <c r="C28" i="4" s="1"/>
  <c r="B11" i="18" s="1"/>
  <c r="E16" i="4"/>
  <c r="E17" i="14"/>
  <c r="I3" i="15"/>
  <c r="G9" i="7"/>
  <c r="G11" i="7" s="1"/>
  <c r="H10" i="7"/>
  <c r="G10" i="13"/>
  <c r="C19" i="10"/>
  <c r="E18" i="10"/>
  <c r="E19" i="10" s="1"/>
  <c r="G13" i="4" l="1"/>
  <c r="E8" i="18"/>
  <c r="C33" i="14"/>
  <c r="F18" i="10"/>
  <c r="E18" i="4"/>
  <c r="E46" i="7" s="1"/>
  <c r="D4" i="20"/>
  <c r="C5" i="20"/>
  <c r="C6" i="20" s="1"/>
  <c r="B12" i="18"/>
  <c r="C29" i="4"/>
  <c r="C30" i="4" s="1"/>
  <c r="C20" i="10"/>
  <c r="F19" i="10"/>
  <c r="F16" i="4"/>
  <c r="D34" i="14"/>
  <c r="E18" i="14"/>
  <c r="D21" i="4"/>
  <c r="D22" i="4" s="1"/>
  <c r="G37" i="7"/>
  <c r="H9" i="7"/>
  <c r="H11" i="7" s="1"/>
  <c r="I10" i="7"/>
  <c r="I25" i="4"/>
  <c r="H10" i="13"/>
  <c r="I10" i="13"/>
  <c r="J10" i="7"/>
  <c r="J25" i="4"/>
  <c r="E20" i="10"/>
  <c r="H13" i="4" l="1"/>
  <c r="H14" i="4" s="1"/>
  <c r="F8" i="18"/>
  <c r="G14" i="4"/>
  <c r="G16" i="4" s="1"/>
  <c r="F4" i="20" s="1"/>
  <c r="F5" i="20" s="1"/>
  <c r="F6" i="20" s="1"/>
  <c r="C35" i="14"/>
  <c r="F20" i="10"/>
  <c r="F18" i="4"/>
  <c r="F46" i="7" s="1"/>
  <c r="E4" i="20"/>
  <c r="E5" i="20" s="1"/>
  <c r="E6" i="20" s="1"/>
  <c r="B13" i="18"/>
  <c r="B22" i="18" s="1"/>
  <c r="B23" i="18" s="1"/>
  <c r="B26" i="18" s="1"/>
  <c r="B8" i="20"/>
  <c r="D5" i="20"/>
  <c r="D6" i="20" s="1"/>
  <c r="K25" i="4"/>
  <c r="J10" i="13"/>
  <c r="D35" i="14"/>
  <c r="D24" i="4"/>
  <c r="C9" i="18"/>
  <c r="D43" i="7"/>
  <c r="D45" i="7" s="1"/>
  <c r="D47" i="7" s="1"/>
  <c r="D20" i="7"/>
  <c r="D38" i="7" s="1"/>
  <c r="E19" i="14"/>
  <c r="H37" i="7"/>
  <c r="I9" i="7"/>
  <c r="I11" i="7" s="1"/>
  <c r="J9" i="7" s="1"/>
  <c r="J11" i="7" s="1"/>
  <c r="K10" i="7"/>
  <c r="I13" i="4" l="1"/>
  <c r="G8" i="18"/>
  <c r="D27" i="4"/>
  <c r="C7" i="20" s="1"/>
  <c r="C36" i="14"/>
  <c r="E11" i="11"/>
  <c r="D16" i="11" s="1"/>
  <c r="D17" i="11" s="1"/>
  <c r="C31" i="4"/>
  <c r="C17" i="7" s="1"/>
  <c r="C19" i="7" s="1"/>
  <c r="C22" i="7" s="1"/>
  <c r="B25" i="18"/>
  <c r="B14" i="18"/>
  <c r="B16" i="18" s="1"/>
  <c r="C12" i="7" s="1"/>
  <c r="H16" i="4"/>
  <c r="G4" i="20" s="1"/>
  <c r="G5" i="20" s="1"/>
  <c r="G6" i="20" s="1"/>
  <c r="I14" i="4"/>
  <c r="D36" i="14"/>
  <c r="E20" i="14"/>
  <c r="D39" i="7"/>
  <c r="D31" i="7"/>
  <c r="C7" i="13"/>
  <c r="C9" i="13" s="1"/>
  <c r="C11" i="13" s="1"/>
  <c r="C13" i="13" s="1"/>
  <c r="C14" i="13" s="1"/>
  <c r="D28" i="4" s="1"/>
  <c r="C11" i="18" s="1"/>
  <c r="I37" i="7"/>
  <c r="J37" i="7"/>
  <c r="K9" i="7"/>
  <c r="K11" i="7" s="1"/>
  <c r="K37" i="7" s="1"/>
  <c r="G18" i="4"/>
  <c r="G46" i="7" s="1"/>
  <c r="J13" i="4" l="1"/>
  <c r="J14" i="4" s="1"/>
  <c r="H8" i="18"/>
  <c r="D16" i="7"/>
  <c r="C32" i="7"/>
  <c r="C33" i="7" s="1"/>
  <c r="C4" i="18"/>
  <c r="C10" i="18" s="1"/>
  <c r="C12" i="18" s="1"/>
  <c r="I16" i="4"/>
  <c r="H4" i="20" s="1"/>
  <c r="H5" i="20" s="1"/>
  <c r="H6" i="20" s="1"/>
  <c r="H15" i="18"/>
  <c r="D29" i="4"/>
  <c r="E21" i="14"/>
  <c r="C13" i="7"/>
  <c r="C25" i="7"/>
  <c r="C27" i="7" s="1"/>
  <c r="C8" i="20" l="1"/>
  <c r="D30" i="4"/>
  <c r="C13" i="18" s="1"/>
  <c r="K13" i="4"/>
  <c r="I8" i="18"/>
  <c r="C20" i="18"/>
  <c r="J16" i="4"/>
  <c r="I4" i="20" s="1"/>
  <c r="I5" i="20" s="1"/>
  <c r="I6" i="20" s="1"/>
  <c r="E21" i="4"/>
  <c r="E22" i="4" s="1"/>
  <c r="E22" i="14"/>
  <c r="H18" i="4"/>
  <c r="H46" i="7" s="1"/>
  <c r="J8" i="18" l="1"/>
  <c r="K14" i="4"/>
  <c r="K16" i="4" s="1"/>
  <c r="J4" i="20" s="1"/>
  <c r="J5" i="20" s="1"/>
  <c r="J6" i="20" s="1"/>
  <c r="C21" i="18"/>
  <c r="C14" i="18"/>
  <c r="C16" i="18" s="1"/>
  <c r="C22" i="18"/>
  <c r="C23" i="18" s="1"/>
  <c r="D31" i="4"/>
  <c r="D17" i="7" s="1"/>
  <c r="D19" i="7" s="1"/>
  <c r="E16" i="7" s="1"/>
  <c r="E20" i="7"/>
  <c r="E38" i="7" s="1"/>
  <c r="E23" i="14"/>
  <c r="E43" i="7"/>
  <c r="E45" i="7" s="1"/>
  <c r="E47" i="7" s="1"/>
  <c r="D9" i="18"/>
  <c r="E24" i="4"/>
  <c r="C25" i="18" l="1"/>
  <c r="C26" i="18"/>
  <c r="E27" i="4"/>
  <c r="D7" i="20" s="1"/>
  <c r="D12" i="7"/>
  <c r="D25" i="7" s="1"/>
  <c r="D27" i="7" s="1"/>
  <c r="D4" i="18"/>
  <c r="D20" i="18" s="1"/>
  <c r="D22" i="7"/>
  <c r="D32" i="7"/>
  <c r="D33" i="7" s="1"/>
  <c r="D7" i="13"/>
  <c r="D9" i="13" s="1"/>
  <c r="D11" i="13" s="1"/>
  <c r="D13" i="13" s="1"/>
  <c r="D14" i="13" s="1"/>
  <c r="E28" i="4" s="1"/>
  <c r="D11" i="18" s="1"/>
  <c r="E24" i="14"/>
  <c r="E39" i="7"/>
  <c r="E31" i="7"/>
  <c r="I18" i="4"/>
  <c r="I46" i="7" s="1"/>
  <c r="D21" i="18" l="1"/>
  <c r="D13" i="7"/>
  <c r="D10" i="18"/>
  <c r="D12" i="18" s="1"/>
  <c r="E29" i="4"/>
  <c r="E30" i="4" s="1"/>
  <c r="E25" i="14"/>
  <c r="D13" i="18" l="1"/>
  <c r="D22" i="18" s="1"/>
  <c r="D8" i="20"/>
  <c r="F21" i="4"/>
  <c r="F22" i="4" s="1"/>
  <c r="E26" i="14"/>
  <c r="D23" i="18" l="1"/>
  <c r="D26" i="18" s="1"/>
  <c r="D25" i="18"/>
  <c r="E31" i="4"/>
  <c r="E17" i="7" s="1"/>
  <c r="E19" i="7" s="1"/>
  <c r="E32" i="7" s="1"/>
  <c r="E33" i="7" s="1"/>
  <c r="D14" i="18"/>
  <c r="D16" i="18" s="1"/>
  <c r="F20" i="7"/>
  <c r="F38" i="7" s="1"/>
  <c r="E27" i="14"/>
  <c r="F43" i="7"/>
  <c r="F45" i="7" s="1"/>
  <c r="F47" i="7" s="1"/>
  <c r="E9" i="18"/>
  <c r="F24" i="4"/>
  <c r="J18" i="4"/>
  <c r="J3" i="15"/>
  <c r="K3" i="15"/>
  <c r="F27" i="4" l="1"/>
  <c r="E7" i="20" s="1"/>
  <c r="E4" i="18"/>
  <c r="E20" i="18" s="1"/>
  <c r="E12" i="7"/>
  <c r="E13" i="7" s="1"/>
  <c r="E22" i="7"/>
  <c r="F16" i="7"/>
  <c r="E7" i="13"/>
  <c r="E9" i="13" s="1"/>
  <c r="E11" i="13" s="1"/>
  <c r="E13" i="13" s="1"/>
  <c r="E14" i="13" s="1"/>
  <c r="F28" i="4" s="1"/>
  <c r="E11" i="18" s="1"/>
  <c r="E28" i="14"/>
  <c r="F39" i="7"/>
  <c r="F31" i="7"/>
  <c r="J24" i="4"/>
  <c r="J27" i="4" s="1"/>
  <c r="J46" i="7"/>
  <c r="J47" i="7" s="1"/>
  <c r="K18" i="4"/>
  <c r="E21" i="18" l="1"/>
  <c r="I7" i="20"/>
  <c r="E10" i="18"/>
  <c r="E12" i="18" s="1"/>
  <c r="E25" i="7"/>
  <c r="E27" i="7" s="1"/>
  <c r="E29" i="14"/>
  <c r="F29" i="4"/>
  <c r="I7" i="13"/>
  <c r="I9" i="13" s="1"/>
  <c r="I11" i="13" s="1"/>
  <c r="I13" i="13" s="1"/>
  <c r="I14" i="13" s="1"/>
  <c r="J28" i="4" s="1"/>
  <c r="I11" i="18" s="1"/>
  <c r="K24" i="4"/>
  <c r="K27" i="4" s="1"/>
  <c r="K46" i="7"/>
  <c r="K47" i="7" s="1"/>
  <c r="E8" i="20" l="1"/>
  <c r="F30" i="4"/>
  <c r="E13" i="18" s="1"/>
  <c r="J7" i="20"/>
  <c r="G21" i="4"/>
  <c r="G22" i="4" s="1"/>
  <c r="G20" i="7"/>
  <c r="G38" i="7" s="1"/>
  <c r="E30" i="14"/>
  <c r="J29" i="4"/>
  <c r="J30" i="4" s="1"/>
  <c r="J7" i="13"/>
  <c r="J9" i="13" s="1"/>
  <c r="J11" i="13" s="1"/>
  <c r="J13" i="13" s="1"/>
  <c r="J14" i="13" s="1"/>
  <c r="K28" i="4" s="1"/>
  <c r="J31" i="4" l="1"/>
  <c r="J17" i="7" s="1"/>
  <c r="I8" i="20"/>
  <c r="E14" i="18"/>
  <c r="E16" i="18" s="1"/>
  <c r="F12" i="7" s="1"/>
  <c r="E22" i="18"/>
  <c r="F31" i="4"/>
  <c r="F17" i="7" s="1"/>
  <c r="F19" i="7" s="1"/>
  <c r="F22" i="7" s="1"/>
  <c r="F9" i="18"/>
  <c r="G43" i="7"/>
  <c r="G45" i="7" s="1"/>
  <c r="G47" i="7" s="1"/>
  <c r="G24" i="4"/>
  <c r="G39" i="7"/>
  <c r="G31" i="7"/>
  <c r="E31" i="14"/>
  <c r="K29" i="4"/>
  <c r="K30" i="4" s="1"/>
  <c r="J11" i="18"/>
  <c r="E23" i="18" l="1"/>
  <c r="E26" i="18" s="1"/>
  <c r="E25" i="18"/>
  <c r="G27" i="4"/>
  <c r="F7" i="20" s="1"/>
  <c r="I13" i="18"/>
  <c r="I22" i="18" s="1"/>
  <c r="I23" i="18" s="1"/>
  <c r="K31" i="4"/>
  <c r="K17" i="7" s="1"/>
  <c r="J8" i="20"/>
  <c r="F4" i="18"/>
  <c r="F20" i="18" s="1"/>
  <c r="F32" i="7"/>
  <c r="F33" i="7" s="1"/>
  <c r="G16" i="7"/>
  <c r="F13" i="7"/>
  <c r="F25" i="7"/>
  <c r="F27" i="7" s="1"/>
  <c r="F7" i="13"/>
  <c r="F9" i="13" s="1"/>
  <c r="F11" i="13" s="1"/>
  <c r="F13" i="13" s="1"/>
  <c r="F14" i="13" s="1"/>
  <c r="G28" i="4" s="1"/>
  <c r="F11" i="18" s="1"/>
  <c r="E32" i="14"/>
  <c r="F21" i="18" l="1"/>
  <c r="J13" i="18"/>
  <c r="J22" i="18" s="1"/>
  <c r="J23" i="18" s="1"/>
  <c r="F10" i="18"/>
  <c r="F12" i="18" s="1"/>
  <c r="G29" i="4"/>
  <c r="F8" i="20" l="1"/>
  <c r="G30" i="4"/>
  <c r="F13" i="18" s="1"/>
  <c r="H21" i="4"/>
  <c r="H22" i="4" s="1"/>
  <c r="H38" i="7"/>
  <c r="E34" i="14"/>
  <c r="F14" i="18" l="1"/>
  <c r="F16" i="18" s="1"/>
  <c r="G12" i="7" s="1"/>
  <c r="F22" i="18"/>
  <c r="G31" i="4"/>
  <c r="G17" i="7" s="1"/>
  <c r="G19" i="7" s="1"/>
  <c r="G22" i="7" s="1"/>
  <c r="H43" i="7"/>
  <c r="H45" i="7" s="1"/>
  <c r="H47" i="7" s="1"/>
  <c r="H24" i="4"/>
  <c r="H27" i="4" s="1"/>
  <c r="G9" i="18"/>
  <c r="E35" i="14"/>
  <c r="F40" i="7"/>
  <c r="H31" i="7"/>
  <c r="F23" i="18" l="1"/>
  <c r="F26" i="18" s="1"/>
  <c r="F25" i="18"/>
  <c r="G7" i="20"/>
  <c r="G4" i="18"/>
  <c r="G20" i="18" s="1"/>
  <c r="G32" i="7"/>
  <c r="G33" i="7" s="1"/>
  <c r="H16" i="7"/>
  <c r="E36" i="14"/>
  <c r="G25" i="7"/>
  <c r="G27" i="7" s="1"/>
  <c r="G13" i="7"/>
  <c r="G7" i="13"/>
  <c r="G9" i="13" s="1"/>
  <c r="G11" i="13" s="1"/>
  <c r="G13" i="13" s="1"/>
  <c r="G14" i="13" s="1"/>
  <c r="H28" i="4" s="1"/>
  <c r="G11" i="18" s="1"/>
  <c r="G21" i="18" l="1"/>
  <c r="G10" i="18"/>
  <c r="G12" i="18" s="1"/>
  <c r="H29" i="4"/>
  <c r="C37" i="14"/>
  <c r="E37" i="14" s="1"/>
  <c r="G8" i="20" l="1"/>
  <c r="H30" i="4"/>
  <c r="G13" i="18" s="1"/>
  <c r="I21" i="4"/>
  <c r="I22" i="4" s="1"/>
  <c r="G14" i="18" l="1"/>
  <c r="G16" i="18" s="1"/>
  <c r="G22" i="18"/>
  <c r="H31" i="4"/>
  <c r="H17" i="7" s="1"/>
  <c r="H19" i="7" s="1"/>
  <c r="H32" i="7" s="1"/>
  <c r="H33" i="7" s="1"/>
  <c r="I24" i="4"/>
  <c r="I27" i="4" s="1"/>
  <c r="H9" i="18"/>
  <c r="I43" i="7"/>
  <c r="I45" i="7" s="1"/>
  <c r="I47" i="7" s="1"/>
  <c r="F48" i="7" s="1"/>
  <c r="G23" i="18" l="1"/>
  <c r="G26" i="18" s="1"/>
  <c r="G25" i="18"/>
  <c r="H7" i="20"/>
  <c r="H4" i="18"/>
  <c r="H20" i="18" s="1"/>
  <c r="H12" i="7"/>
  <c r="H13" i="7" s="1"/>
  <c r="H22" i="7"/>
  <c r="I16" i="7"/>
  <c r="H7" i="13"/>
  <c r="H9" i="13" s="1"/>
  <c r="H11" i="13" s="1"/>
  <c r="H13" i="13" s="1"/>
  <c r="H14" i="13" s="1"/>
  <c r="I28" i="4" s="1"/>
  <c r="H11" i="18" s="1"/>
  <c r="H21" i="18" l="1"/>
  <c r="H10" i="18"/>
  <c r="H12" i="18" s="1"/>
  <c r="H25" i="7"/>
  <c r="H27" i="7" s="1"/>
  <c r="I29" i="4"/>
  <c r="H8" i="20" l="1"/>
  <c r="I30" i="4"/>
  <c r="H13" i="18" s="1"/>
  <c r="H14" i="18" l="1"/>
  <c r="H16" i="18" s="1"/>
  <c r="I12" i="7" s="1"/>
  <c r="H22" i="18"/>
  <c r="I31" i="4"/>
  <c r="I17" i="7" s="1"/>
  <c r="I19" i="7" s="1"/>
  <c r="I22" i="7" s="1"/>
  <c r="H23" i="18" l="1"/>
  <c r="H26" i="18" s="1"/>
  <c r="H25" i="18"/>
  <c r="I4" i="18"/>
  <c r="I10" i="18" s="1"/>
  <c r="I12" i="18" s="1"/>
  <c r="I14" i="18" s="1"/>
  <c r="I16" i="18" s="1"/>
  <c r="I32" i="7"/>
  <c r="I33" i="7" s="1"/>
  <c r="J16" i="7"/>
  <c r="J19" i="7" s="1"/>
  <c r="K16" i="7" s="1"/>
  <c r="K19" i="7" s="1"/>
  <c r="I13" i="7"/>
  <c r="I25" i="7"/>
  <c r="I27" i="7" s="1"/>
  <c r="J4" i="18" l="1"/>
  <c r="J10" i="18" s="1"/>
  <c r="J12" i="18" s="1"/>
  <c r="J14" i="18" s="1"/>
  <c r="J16" i="18" s="1"/>
  <c r="J12" i="7"/>
  <c r="J25" i="7" s="1"/>
  <c r="J27" i="7" s="1"/>
  <c r="I20" i="18"/>
  <c r="I25" i="18" s="1"/>
  <c r="J22" i="7"/>
  <c r="J32" i="7"/>
  <c r="J33" i="7" s="1"/>
  <c r="K32" i="7"/>
  <c r="K33" i="7" s="1"/>
  <c r="K22" i="7"/>
  <c r="J20" i="18" l="1"/>
  <c r="J25" i="18" s="1"/>
  <c r="K12" i="7"/>
  <c r="K13" i="7" s="1"/>
  <c r="J13" i="7"/>
  <c r="F34" i="7"/>
  <c r="I21" i="18"/>
  <c r="I26" i="18" s="1"/>
  <c r="K25" i="7"/>
  <c r="K27" i="7" s="1"/>
  <c r="F28" i="7" s="1"/>
  <c r="J21" i="18" l="1"/>
  <c r="J26" i="18" l="1"/>
  <c r="K26" i="18" s="1"/>
</calcChain>
</file>

<file path=xl/sharedStrings.xml><?xml version="1.0" encoding="utf-8"?>
<sst xmlns="http://schemas.openxmlformats.org/spreadsheetml/2006/main" count="368" uniqueCount="271">
  <si>
    <t>Annexure 1 - Estimated cost of the project</t>
  </si>
  <si>
    <t>Estimated cost of project</t>
  </si>
  <si>
    <t xml:space="preserve">Sr. No. </t>
  </si>
  <si>
    <t>Particulars</t>
  </si>
  <si>
    <t>Grand Total (in lakhs)</t>
  </si>
  <si>
    <t>Total</t>
  </si>
  <si>
    <t>Plant and Machinery</t>
  </si>
  <si>
    <t>Cost</t>
  </si>
  <si>
    <t>Annexure 2 - Means of Finance</t>
  </si>
  <si>
    <t>Sr. No.</t>
  </si>
  <si>
    <t>Item</t>
  </si>
  <si>
    <t>Promoter's equity</t>
  </si>
  <si>
    <t>Eligible Assistance</t>
  </si>
  <si>
    <t>Term Loan</t>
  </si>
  <si>
    <t>CC Limit</t>
  </si>
  <si>
    <t>Amt</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</si>
  <si>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</si>
  <si>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</si>
  <si>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</si>
  <si>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</si>
  <si>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</si>
  <si>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</si>
  <si>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</si>
  <si>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</si>
  <si>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</si>
  <si>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</si>
  <si>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</si>
  <si>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</si>
  <si>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</si>
  <si>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</si>
  <si>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</si>
  <si>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</si>
  <si>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</si>
  <si>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</si>
  <si>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</si>
  <si>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</si>
  <si>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</si>
  <si>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</si>
  <si>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</si>
  <si>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</si>
  <si>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</si>
  <si>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</si>
  <si>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</si>
  <si>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</si>
  <si>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</si>
  <si>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</si>
  <si>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</si>
  <si>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</si>
  <si>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</si>
  <si>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</si>
  <si>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</si>
  <si>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</si>
  <si>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Contribution</t>
  </si>
  <si>
    <t>Less: fixed cost</t>
  </si>
  <si>
    <t>Wages and salaries</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</si>
  <si>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</si>
  <si>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</si>
  <si>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</si>
  <si>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</si>
  <si>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</si>
  <si>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</si>
  <si>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</si>
  <si>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</si>
  <si>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</si>
  <si>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</si>
  <si>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</si>
  <si>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</si>
  <si>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</si>
  <si>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</si>
  <si>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</si>
  <si>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</si>
  <si>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</si>
  <si>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</si>
  <si>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</si>
  <si>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</si>
  <si>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</si>
  <si>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</si>
  <si>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</si>
  <si>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</si>
  <si>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</si>
  <si>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</si>
  <si>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</si>
  <si>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</si>
  <si>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</si>
  <si>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</si>
  <si>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</si>
  <si>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</si>
  <si>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</si>
  <si>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</si>
  <si>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</si>
  <si>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</si>
  <si>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</si>
  <si>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</si>
  <si>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</si>
  <si>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</si>
  <si>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</si>
  <si>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</si>
  <si>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</si>
  <si>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</si>
  <si>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</si>
  <si>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Cash/ bank balance</t>
  </si>
  <si>
    <t>Liabilities</t>
  </si>
  <si>
    <t>Capital</t>
  </si>
  <si>
    <t>Add- Profit</t>
  </si>
  <si>
    <t>Less- Drawings</t>
  </si>
  <si>
    <t>Closing capital</t>
  </si>
  <si>
    <t>term Loan</t>
  </si>
  <si>
    <t>Total liabilities</t>
  </si>
  <si>
    <t>Total assets</t>
  </si>
  <si>
    <t>Current Ratio</t>
  </si>
  <si>
    <t>Current Assets</t>
  </si>
  <si>
    <t>Current Liabilities</t>
  </si>
  <si>
    <t>1. asssumed that 90 days of purchases are average creditors maintained</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</si>
  <si>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</si>
  <si>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</si>
  <si>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</si>
  <si>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</si>
  <si>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</si>
  <si>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</si>
  <si>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</si>
  <si>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</si>
  <si>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</si>
  <si>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</si>
  <si>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</si>
  <si>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</si>
  <si>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</si>
  <si>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</si>
  <si>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</si>
  <si>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</si>
  <si>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</si>
  <si>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</si>
  <si>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</si>
  <si>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</si>
  <si>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</si>
  <si>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</si>
  <si>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</si>
  <si>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</si>
  <si>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</si>
  <si>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</si>
  <si>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</si>
  <si>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</si>
  <si>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Sub Total</t>
  </si>
  <si>
    <t>Total depreciation for the year</t>
  </si>
  <si>
    <t>Cash flow statement</t>
  </si>
  <si>
    <t>Less: Payment made to creditors of previos year</t>
  </si>
  <si>
    <t>Add: Receipts from debtors of previos year</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</si>
  <si>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</si>
  <si>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</si>
  <si>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</si>
  <si>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</si>
  <si>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</si>
  <si>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</si>
  <si>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</si>
  <si>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</si>
  <si>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</si>
  <si>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</si>
  <si>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</si>
  <si>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</si>
  <si>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</si>
  <si>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</si>
  <si>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</si>
  <si>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</si>
  <si>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</si>
  <si>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</si>
  <si>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Contribution per kg</t>
  </si>
  <si>
    <t>BEP in kgs</t>
  </si>
  <si>
    <t>Total BEP %</t>
  </si>
  <si>
    <t>Interest on TL</t>
  </si>
  <si>
    <t>Constructional</t>
  </si>
  <si>
    <t>Product Dimensions</t>
  </si>
  <si>
    <t>15 ft by 10 ft by 10 ft</t>
  </si>
  <si>
    <t>Cold room insulation</t>
  </si>
  <si>
    <t>Poly Urethane Foam, 100 mm, 38+/-2 kg/m3 or Equivalent</t>
  </si>
  <si>
    <t>Cold room body</t>
  </si>
  <si>
    <t>Pre-painted galvanized iron</t>
  </si>
  <si>
    <t>Room door</t>
  </si>
  <si>
    <t>Insulation: PUF</t>
  </si>
  <si>
    <t>Thickness: 100 mm</t>
  </si>
  <si>
    <t>Dimensions: 1903x853 mm</t>
  </si>
  <si>
    <t>Curtains</t>
  </si>
  <si>
    <t>PVC to reduce Heat infiltration on door  openings</t>
  </si>
  <si>
    <t>Operational Data</t>
  </si>
  <si>
    <t>Refrigeration TR</t>
  </si>
  <si>
    <t>(~2.7 TR approx.) @ -5 C Evaporating &amp; 50 C Condensing</t>
  </si>
  <si>
    <t>Storage capacity</t>
  </si>
  <si>
    <t>5 MT depending upon commodity</t>
  </si>
  <si>
    <t>Temperature range</t>
  </si>
  <si>
    <t>4-10 Degree C by using set point control as per req.</t>
  </si>
  <si>
    <t>Humidity range</t>
  </si>
  <si>
    <t>65-95% by using set point controlled</t>
  </si>
  <si>
    <t>Backup Type</t>
  </si>
  <si>
    <t>Air Cooling Using Thermal Energy Storage</t>
  </si>
  <si>
    <t>Backup duration</t>
  </si>
  <si>
    <t>24-30 hours (non-door opening &amp; 5.5 KW/m2/day radiation)</t>
  </si>
  <si>
    <t>Remote Monitoring</t>
  </si>
  <si>
    <t>Per minute logging, GPRS based, viewable on desktop and Smart Phone</t>
  </si>
  <si>
    <t>Power Source</t>
  </si>
  <si>
    <t>Auxiliary Battery</t>
  </si>
  <si>
    <t>24 V 100 Ah</t>
  </si>
  <si>
    <t>Solar Power Capacity</t>
  </si>
  <si>
    <t>5 kWp</t>
  </si>
  <si>
    <t>Alternative power source</t>
  </si>
  <si>
    <t>Grid or DG Hybrid</t>
  </si>
  <si>
    <t>Financial Analysis</t>
  </si>
  <si>
    <t>Total cost</t>
  </si>
  <si>
    <t>Storage utilization</t>
  </si>
  <si>
    <t>Crops</t>
  </si>
  <si>
    <t>Jan</t>
  </si>
  <si>
    <t>Feb</t>
  </si>
  <si>
    <t>Mar</t>
  </si>
  <si>
    <t>Apr</t>
  </si>
  <si>
    <t>May</t>
  </si>
  <si>
    <t>Jun</t>
  </si>
  <si>
    <t>Jul</t>
  </si>
  <si>
    <t>Aug</t>
  </si>
  <si>
    <t>Sep</t>
  </si>
  <si>
    <t>Oct</t>
  </si>
  <si>
    <t>Nov</t>
  </si>
  <si>
    <t>Dec</t>
  </si>
  <si>
    <t>Batch size in sticks or kgs</t>
  </si>
  <si>
    <t>Storage duration in days</t>
  </si>
  <si>
    <t>No. of storage cycles in a month</t>
  </si>
  <si>
    <t>Total stcks/ commodities storage in month</t>
  </si>
  <si>
    <t>Sales budget</t>
  </si>
  <si>
    <t>Capacity utilization</t>
  </si>
  <si>
    <t>Storage utilization in kg/ sticks</t>
  </si>
  <si>
    <t>Revenue</t>
  </si>
  <si>
    <t>10</t>
  </si>
  <si>
    <t>Year ended 31st March</t>
  </si>
  <si>
    <t>Cost of 3 Portable solar rooms (Without DG Sets)</t>
  </si>
  <si>
    <t xml:space="preserve">Running and Manintenance expense </t>
  </si>
  <si>
    <t>Insurance cost</t>
  </si>
  <si>
    <t>Miscellanous maintenance charges</t>
  </si>
  <si>
    <t>Miscellaneous charges per annum @ 1%</t>
  </si>
  <si>
    <t>Assumed that there could be miscellaneous maintainance charges, taken to be 1% of cost of cold rooms and increase annually by 10%</t>
  </si>
  <si>
    <t>Machine help</t>
  </si>
  <si>
    <t>Annual 100% capacity for 3 storage rooms</t>
  </si>
  <si>
    <t>Revenue for using storage space - per kg/ stick</t>
  </si>
  <si>
    <t>Yearly cost</t>
  </si>
  <si>
    <t>Insurance charges per annum @ 0.2%</t>
  </si>
  <si>
    <t>Assumed that insurance cost is 0.2% of cost which will increase 5% annually</t>
  </si>
  <si>
    <t>Less: Payments made for current year purchase &amp; salaries</t>
  </si>
  <si>
    <t>assumed that there are no credit allowed on sales</t>
  </si>
  <si>
    <t>In cold storage room there are no variable costs incurred by the businesse, ratgher all the costs are fixed. Thus there are no variable cost, leading to contribution equalling to sale price per kg/stick</t>
  </si>
  <si>
    <t>Rs. per kg/ stick</t>
  </si>
  <si>
    <t>Distribution of profits (70%)</t>
  </si>
  <si>
    <t>Contents Table</t>
  </si>
  <si>
    <t>Contents</t>
  </si>
  <si>
    <t>Link</t>
  </si>
  <si>
    <t>Ann 1'!A1</t>
  </si>
  <si>
    <t>Ann 2'!A1</t>
  </si>
  <si>
    <t>Ann 4'!A1</t>
  </si>
  <si>
    <t>Ann 5'!A1</t>
  </si>
  <si>
    <t>Ann 6'!A1</t>
  </si>
  <si>
    <t>Ann 8'!A1</t>
  </si>
  <si>
    <t>Ann 9'!A1</t>
  </si>
  <si>
    <t>Ann 10'!A1</t>
  </si>
  <si>
    <t>Ann 11'!A1</t>
  </si>
  <si>
    <t>Ann 13'!A1</t>
  </si>
  <si>
    <t>Assumptions!A1</t>
  </si>
  <si>
    <t>Cash flows'!A1</t>
  </si>
  <si>
    <t>Budgets!A1</t>
  </si>
  <si>
    <t>S. no.</t>
  </si>
  <si>
    <t>Assumptions</t>
  </si>
  <si>
    <t>Asssumed that 90 days of purchases are average creditors maintained</t>
  </si>
  <si>
    <t>Assumed that there are no credit allowed on sales</t>
  </si>
  <si>
    <t>Amount of Subsidy (in lakhs)</t>
  </si>
  <si>
    <t>repaid via subsidy</t>
  </si>
  <si>
    <t>In case of Capital subsidy, the amount vary depending on location of unit and scheme offered by the government at that time. Thus it is assumed here that 20% of project cost (Rs. 3.3 lakhs)is sourced through back end subsidy.</t>
  </si>
  <si>
    <t>The amount Rs. 3.3 lakhs is sourced by Government subsidy. Since this is a back end subsidy, the amount is funded to bank at the end of repayment schedule.</t>
  </si>
  <si>
    <t>Other income - payment of loan via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</si>
</sst>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0000000_);_(* \(#,##0.000000000\);_(* &quot;-&quot;??_);_(@_)"/>
    <numFmt numFmtId="166" formatCode="0.000"/>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97">
    <xf numFmtId="0" fontId="0" fillId="0" borderId="0" xfId="0"/>
    <xf numFmtId="0" fontId="0" fillId="0" borderId="0" xfId="0" applyAlignment="1">
      <alignment horizontal="left"/>
    </xf>
    <xf numFmtId="2" fontId="0" fillId="0" borderId="0" xfId="0" applyNumberFormat="1"/>
    <xf numFmtId="0" fontId="3" fillId="0" borderId="0" xfId="0" applyFont="1"/>
    <xf numFmtId="0" fontId="0" fillId="0" borderId="3" xfId="0" applyBorder="1"/>
    <xf numFmtId="0" fontId="0" fillId="0" borderId="0" xfId="0" applyBorder="1"/>
    <xf numFmtId="0" fontId="0" fillId="0" borderId="9" xfId="0" applyBorder="1"/>
    <xf numFmtId="0" fontId="0" fillId="0" borderId="11" xfId="0" applyBorder="1"/>
    <xf numFmtId="0" fontId="0" fillId="0" borderId="12" xfId="0" applyBorder="1"/>
    <xf numFmtId="0" fontId="0" fillId="0" borderId="1" xfId="0" applyBorder="1"/>
    <xf numFmtId="0" fontId="0" fillId="0" borderId="2" xfId="0" applyBorder="1"/>
    <xf numFmtId="0" fontId="0" fillId="0" borderId="8" xfId="0" applyBorder="1"/>
    <xf numFmtId="164" fontId="0" fillId="0" borderId="0" xfId="1" applyNumberFormat="1" applyFont="1"/>
    <xf numFmtId="164" fontId="0" fillId="0" borderId="0" xfId="0" applyNumberFormat="1"/>
    <xf numFmtId="164" fontId="0" fillId="0" borderId="9" xfId="1" applyNumberFormat="1" applyFont="1" applyBorder="1"/>
    <xf numFmtId="0" fontId="2" fillId="0" borderId="0" xfId="0" applyFont="1"/>
    <xf numFmtId="9" fontId="0" fillId="0" borderId="0" xfId="0" applyNumberFormat="1"/>
    <xf numFmtId="43" fontId="0" fillId="0" borderId="9" xfId="0" applyNumberFormat="1" applyBorder="1"/>
    <xf numFmtId="0" fontId="0" fillId="0" borderId="0" xfId="0" applyAlignment="1">
      <alignment horizontal="right"/>
    </xf>
    <xf numFmtId="164" fontId="0" fillId="0" borderId="1" xfId="1" applyNumberFormat="1" applyFont="1" applyBorder="1"/>
    <xf numFmtId="0" fontId="0" fillId="2" borderId="3" xfId="0" applyFill="1" applyBorder="1"/>
    <xf numFmtId="0" fontId="0" fillId="2" borderId="4" xfId="0" applyFill="1" applyBorder="1"/>
    <xf numFmtId="0" fontId="0" fillId="2" borderId="1" xfId="0" applyFill="1" applyBorder="1"/>
    <xf numFmtId="0" fontId="0" fillId="2" borderId="2" xfId="0" applyFill="1" applyBorder="1"/>
    <xf numFmtId="43" fontId="0" fillId="0" borderId="4" xfId="0" applyNumberFormat="1" applyBorder="1"/>
    <xf numFmtId="0" fontId="0" fillId="2" borderId="6" xfId="0" applyFill="1" applyBorder="1"/>
    <xf numFmtId="164" fontId="0" fillId="0" borderId="1" xfId="0" applyNumberFormat="1" applyBorder="1"/>
    <xf numFmtId="0" fontId="0" fillId="0" borderId="1" xfId="0" applyFill="1" applyBorder="1"/>
    <xf numFmtId="10" fontId="0" fillId="0" borderId="0" xfId="2" applyNumberFormat="1" applyFont="1"/>
    <xf numFmtId="0" fontId="0" fillId="0" borderId="5" xfId="0" applyBorder="1"/>
    <xf numFmtId="0" fontId="2" fillId="0" borderId="6" xfId="0" applyFont="1" applyBorder="1"/>
    <xf numFmtId="0" fontId="0" fillId="0" borderId="6" xfId="0" applyBorder="1"/>
    <xf numFmtId="0" fontId="0" fillId="0" borderId="7" xfId="0" applyBorder="1"/>
    <xf numFmtId="164" fontId="0" fillId="0" borderId="9" xfId="0" applyNumberFormat="1" applyBorder="1"/>
    <xf numFmtId="0" fontId="2" fillId="0" borderId="0" xfId="0" applyFont="1" applyBorder="1"/>
    <xf numFmtId="0" fontId="0" fillId="0" borderId="13" xfId="0" applyBorder="1"/>
    <xf numFmtId="0" fontId="0" fillId="0" borderId="14" xfId="0" applyBorder="1"/>
    <xf numFmtId="0" fontId="0" fillId="0" borderId="10" xfId="0" applyBorder="1"/>
    <xf numFmtId="43" fontId="0" fillId="0" borderId="1" xfId="1" applyFont="1" applyBorder="1"/>
    <xf numFmtId="0" fontId="0" fillId="0" borderId="15" xfId="0" applyBorder="1"/>
    <xf numFmtId="164" fontId="0" fillId="0" borderId="11" xfId="0" applyNumberFormat="1" applyBorder="1"/>
    <xf numFmtId="164" fontId="0" fillId="0" borderId="11" xfId="1" applyNumberFormat="1" applyFont="1" applyBorder="1"/>
    <xf numFmtId="43" fontId="0" fillId="0" borderId="11" xfId="0" applyNumberFormat="1" applyBorder="1"/>
    <xf numFmtId="0" fontId="0" fillId="0" borderId="0" xfId="0" applyFill="1" applyBorder="1"/>
    <xf numFmtId="0" fontId="0" fillId="2" borderId="8" xfId="0" applyFill="1" applyBorder="1"/>
    <xf numFmtId="0" fontId="0" fillId="2" borderId="0" xfId="0" applyFill="1" applyBorder="1"/>
    <xf numFmtId="0" fontId="0" fillId="2" borderId="11" xfId="0" applyFill="1" applyBorder="1"/>
    <xf numFmtId="0" fontId="0" fillId="2" borderId="9" xfId="0" applyFill="1" applyBorder="1"/>
    <xf numFmtId="164" fontId="0" fillId="2" borderId="9" xfId="0" applyNumberFormat="1" applyFill="1" applyBorder="1"/>
    <xf numFmtId="2" fontId="0" fillId="0" borderId="1" xfId="0" applyNumberFormat="1" applyBorder="1"/>
    <xf numFmtId="43" fontId="0" fillId="0" borderId="9" xfId="1" applyFont="1" applyBorder="1"/>
    <xf numFmtId="164" fontId="0" fillId="0" borderId="8" xfId="0" applyNumberFormat="1" applyFill="1" applyBorder="1"/>
    <xf numFmtId="0" fontId="4" fillId="0" borderId="0" xfId="0" applyFont="1"/>
    <xf numFmtId="9" fontId="0" fillId="0" borderId="1" xfId="0" applyNumberFormat="1" applyBorder="1"/>
    <xf numFmtId="0" fontId="0" fillId="0" borderId="1" xfId="0" applyBorder="1" applyAlignment="1">
      <alignment horizontal="left"/>
    </xf>
    <xf numFmtId="0" fontId="0" fillId="0" borderId="1" xfId="0" applyBorder="1" applyAlignment="1">
      <alignment horizontal="left"/>
    </xf>
    <xf numFmtId="166" fontId="0" fillId="0" borderId="0" xfId="0" applyNumberFormat="1"/>
    <xf numFmtId="0" fontId="0" fillId="0" borderId="1" xfId="0" applyBorder="1" applyAlignment="1">
      <alignment horizontal="right"/>
    </xf>
    <xf numFmtId="43" fontId="0" fillId="0" borderId="1" xfId="0" applyNumberFormat="1" applyBorder="1"/>
    <xf numFmtId="2" fontId="0" fillId="0" borderId="0" xfId="2" applyNumberFormat="1" applyFont="1"/>
    <xf numFmtId="0" fontId="0" fillId="0" borderId="0" xfId="0" applyFont="1"/>
    <xf numFmtId="0" fontId="0" fillId="2" borderId="1" xfId="0" applyFont="1" applyFill="1" applyBorder="1"/>
    <xf numFmtId="0" fontId="0" fillId="2" borderId="1" xfId="0" applyFont="1" applyFill="1" applyBorder="1" applyAlignment="1">
      <alignment wrapText="1"/>
    </xf>
    <xf numFmtId="0" fontId="0" fillId="0" borderId="0" xfId="0" applyFont="1" applyAlignment="1">
      <alignment horizontal="left"/>
    </xf>
    <xf numFmtId="0" fontId="3" fillId="2" borderId="1" xfId="0" applyFont="1" applyFill="1" applyBorder="1"/>
    <xf numFmtId="0" fontId="0" fillId="0" borderId="1" xfId="0" applyFont="1" applyBorder="1" applyAlignment="1">
      <alignment horizontal="left" vertical="center" wrapText="1"/>
    </xf>
    <xf numFmtId="0" fontId="0" fillId="0" borderId="1" xfId="0" applyFont="1" applyBorder="1" applyAlignment="1">
      <alignment horizontal="justify" vertical="center" wrapText="1"/>
    </xf>
    <xf numFmtId="164" fontId="0" fillId="0" borderId="1" xfId="1" applyNumberFormat="1" applyFont="1" applyBorder="1" applyAlignment="1">
      <alignment horizontal="left"/>
    </xf>
    <xf numFmtId="164" fontId="0" fillId="0" borderId="1" xfId="1" applyNumberFormat="1" applyFont="1" applyBorder="1" applyAlignment="1">
      <alignment horizontal="left" vertical="center" wrapText="1"/>
    </xf>
    <xf numFmtId="164" fontId="0" fillId="0" borderId="1" xfId="1" applyNumberFormat="1" applyFont="1" applyFill="1" applyBorder="1" applyAlignment="1">
      <alignment horizontal="left" vertical="center" wrapText="1"/>
    </xf>
    <xf numFmtId="9" fontId="0" fillId="0" borderId="1" xfId="2" applyFont="1" applyBorder="1"/>
    <xf numFmtId="17" fontId="0" fillId="0" borderId="1" xfId="0" quotePrefix="1" applyNumberFormat="1" applyBorder="1" applyAlignment="1">
      <alignment horizontal="left"/>
    </xf>
    <xf numFmtId="0" fontId="2" fillId="0" borderId="1" xfId="0" applyFont="1" applyBorder="1"/>
    <xf numFmtId="0" fontId="5" fillId="0" borderId="0" xfId="0" applyFont="1"/>
    <xf numFmtId="0" fontId="4" fillId="2" borderId="1" xfId="0" applyFont="1" applyFill="1" applyBorder="1"/>
    <xf numFmtId="0" fontId="4" fillId="0" borderId="1" xfId="0" applyFont="1" applyBorder="1"/>
    <xf numFmtId="164" fontId="4" fillId="0" borderId="1" xfId="1" applyNumberFormat="1" applyFont="1" applyBorder="1"/>
    <xf numFmtId="0" fontId="6" fillId="0" borderId="1" xfId="3" quotePrefix="1" applyBorder="1"/>
    <xf numFmtId="0" fontId="6" fillId="0" borderId="1" xfId="3" applyBorder="1"/>
    <xf numFmtId="0" fontId="0" fillId="0" borderId="1" xfId="0" applyBorder="1" applyAlignment="1">
      <alignment wrapText="1"/>
    </xf>
    <xf numFmtId="164" fontId="7" fillId="0" borderId="0" xfId="1" applyNumberFormat="1" applyFont="1"/>
    <xf numFmtId="10" fontId="7" fillId="0" borderId="0" xfId="1" applyNumberFormat="1" applyFont="1"/>
    <xf numFmtId="165" fontId="7" fillId="0" borderId="0" xfId="1" applyNumberFormat="1" applyFont="1"/>
    <xf numFmtId="0" fontId="7" fillId="0" borderId="0" xfId="0" applyFont="1"/>
    <xf numFmtId="164" fontId="7" fillId="0" borderId="0" xfId="0" applyNumberFormat="1" applyFont="1"/>
    <xf numFmtId="10" fontId="0" fillId="3" borderId="0" xfId="0" applyNumberFormat="1" applyFill="1"/>
    <xf numFmtId="0" fontId="0" fillId="3" borderId="0" xfId="0" applyFill="1" applyAlignment="1">
      <alignment horizontal="right"/>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2" fillId="0" borderId="1" xfId="0" applyFont="1" applyBorder="1" applyAlignment="1">
      <alignment horizontal="justify" vertical="center" wrapText="1"/>
    </xf>
    <xf numFmtId="0" fontId="0" fillId="2" borderId="3"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4.%20Bio%20Stimulant%20Plant/Bio%20Stimulant%20Plant%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row r="1">
          <cell r="A1" t="str">
            <v>Annexure 6 - Requirement of Power and Fuel</v>
          </cell>
        </row>
      </sheetData>
      <sheetData sheetId="7"/>
      <sheetData sheetId="8"/>
      <sheetData sheetId="9">
        <row r="1">
          <cell r="A1" t="str">
            <v>Annexure 9 - Computation of Depreciation</v>
          </cell>
        </row>
      </sheetData>
      <sheetData sheetId="10">
        <row r="1">
          <cell r="A1" t="str">
            <v>Annexure 10 - Calculation of Income tax</v>
          </cell>
        </row>
      </sheetData>
      <sheetData sheetId="11">
        <row r="1">
          <cell r="A1" t="str">
            <v>Annexure 11- Break even analysis (At maximum capacity utilization)</v>
          </cell>
        </row>
      </sheetData>
      <sheetData sheetId="12"/>
      <sheetData sheetId="13">
        <row r="1">
          <cell r="A1" t="str">
            <v>Annexure 13 - Repayment schedule</v>
          </cell>
        </row>
      </sheetData>
      <sheetData sheetId="14">
        <row r="1">
          <cell r="A1" t="str">
            <v>Sales Budget</v>
          </cell>
        </row>
      </sheetData>
      <sheetData sheetId="15">
        <row r="1">
          <cell r="B1" t="str">
            <v>Assumptions</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8"/>
      <sheetName val="Ann 9"/>
      <sheetName val="Ann 10"/>
      <sheetName val="Ann 11"/>
      <sheetName val="Ann 12"/>
      <sheetName val="Ann 13"/>
      <sheetName val="Budgets"/>
      <sheetName val="Cash flows"/>
      <sheetName val="For word file"/>
      <sheetName val="Assumption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Cash flow statement</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45914-7F29-4AC6-A3AC-44C2C72B16C3}">
  <dimension ref="A1:B16"/>
  <sheetViews>
    <sheetView tabSelected="1" workbookViewId="0">
      <selection activeCell="A15" sqref="A15"/>
    </sheetView>
  </sheetViews>
  <sheetFormatPr defaultRowHeight="14.5" x14ac:dyDescent="0.35"/>
  <cols>
    <col min="1" max="1" width="57.90625" bestFit="1" customWidth="1"/>
    <col min="2" max="2" width="14.453125" bestFit="1" customWidth="1"/>
  </cols>
  <sheetData>
    <row r="1" spans="1:2" x14ac:dyDescent="0.35">
      <c r="A1" s="15" t="s">
        <v>246</v>
      </c>
    </row>
    <row r="3" spans="1:2" x14ac:dyDescent="0.35">
      <c r="A3" s="72" t="s">
        <v>247</v>
      </c>
      <c r="B3" s="72" t="s">
        <v>248</v>
      </c>
    </row>
    <row r="4" spans="1:2" x14ac:dyDescent="0.35">
      <c r="A4" s="9" t="str">
        <f>'[1]Ann 1'!A3</f>
        <v>Annexure 1 - Estimated cost of the project</v>
      </c>
      <c r="B4" s="77" t="s">
        <v>249</v>
      </c>
    </row>
    <row r="5" spans="1:2" x14ac:dyDescent="0.35">
      <c r="A5" s="9" t="str">
        <f>'[1]Ann 2'!A1</f>
        <v>Annexure 2 - Means of Finance</v>
      </c>
      <c r="B5" s="77" t="s">
        <v>250</v>
      </c>
    </row>
    <row r="6" spans="1:2" x14ac:dyDescent="0.35">
      <c r="A6" s="9" t="str">
        <f>'[1]Ann 4'!A1</f>
        <v>Annexure 4 - Estimated Cost of Production</v>
      </c>
      <c r="B6" s="77" t="s">
        <v>251</v>
      </c>
    </row>
    <row r="7" spans="1:2" x14ac:dyDescent="0.35">
      <c r="A7" s="9" t="str">
        <f>'[1]Ann 5'!A1</f>
        <v>Annexure 5- Projected balance sheet</v>
      </c>
      <c r="B7" s="77" t="s">
        <v>252</v>
      </c>
    </row>
    <row r="8" spans="1:2" x14ac:dyDescent="0.35">
      <c r="A8" s="9" t="str">
        <f>'[1]Ann 6'!A1</f>
        <v>Annexure 6 - Requirement of Power and Fuel</v>
      </c>
      <c r="B8" s="77" t="s">
        <v>253</v>
      </c>
    </row>
    <row r="9" spans="1:2" x14ac:dyDescent="0.35">
      <c r="A9" s="9" t="str">
        <f>'Ann 8'!A1</f>
        <v>Annexure 8 - Details of Mnpower</v>
      </c>
      <c r="B9" s="77" t="s">
        <v>254</v>
      </c>
    </row>
    <row r="10" spans="1:2" x14ac:dyDescent="0.35">
      <c r="A10" s="9" t="str">
        <f>'[1]Ann 9'!A1</f>
        <v>Annexure 9 - Computation of Depreciation</v>
      </c>
      <c r="B10" s="77" t="s">
        <v>255</v>
      </c>
    </row>
    <row r="11" spans="1:2" x14ac:dyDescent="0.35">
      <c r="A11" s="9" t="str">
        <f>'[1]Ann 10'!A1</f>
        <v>Annexure 10 - Calculation of Income tax</v>
      </c>
      <c r="B11" s="77" t="s">
        <v>256</v>
      </c>
    </row>
    <row r="12" spans="1:2" x14ac:dyDescent="0.35">
      <c r="A12" s="9" t="str">
        <f>'[1]Ann 11'!A1</f>
        <v>Annexure 11- Break even analysis (At maximum capacity utilization)</v>
      </c>
      <c r="B12" s="77" t="s">
        <v>257</v>
      </c>
    </row>
    <row r="13" spans="1:2" x14ac:dyDescent="0.35">
      <c r="A13" s="9" t="str">
        <f>'[1]Ann 13'!A1</f>
        <v>Annexure 13 - Repayment schedule</v>
      </c>
      <c r="B13" s="77" t="s">
        <v>258</v>
      </c>
    </row>
    <row r="14" spans="1:2" x14ac:dyDescent="0.35">
      <c r="A14" s="9" t="str">
        <f>[1]Assumptions!B1</f>
        <v>Assumptions</v>
      </c>
      <c r="B14" s="78" t="s">
        <v>259</v>
      </c>
    </row>
    <row r="15" spans="1:2" x14ac:dyDescent="0.35">
      <c r="A15" s="9" t="str">
        <f>'[2]Cash flows'!A1</f>
        <v>Cash flow statement</v>
      </c>
      <c r="B15" s="77" t="s">
        <v>260</v>
      </c>
    </row>
    <row r="16" spans="1:2" x14ac:dyDescent="0.35">
      <c r="A16" s="9" t="str">
        <f>[1]Budgets!A1</f>
        <v>Sales Budget</v>
      </c>
      <c r="B16" s="78" t="s">
        <v>261</v>
      </c>
    </row>
  </sheetData>
  <hyperlinks>
    <hyperlink ref="B4" location="'Ann 1'!A1" display="Ann 1'!A1" xr:uid="{36F24E19-0AA9-4363-BD2B-3AB0B640AC5C}"/>
    <hyperlink ref="B5" location="'Ann 2'!A1" display="Ann 2'!A1" xr:uid="{8E875F4D-52AB-4B3E-9586-3C04D61E3EAC}"/>
    <hyperlink ref="B6" location="'Ann 5'!A1" display="Ann 4'!A1" xr:uid="{74AE2119-C961-4AB6-9147-AE847ACF25D0}"/>
    <hyperlink ref="B7" location="'Ann 6'!A1" display="Ann 5'!A1" xr:uid="{AB0D4D00-16BA-4832-AEAB-97D8B63E7C45}"/>
    <hyperlink ref="B8" location="'Ann 6'!A1" display="'Ann 6'!A1" xr:uid="{B6FE7B3B-00C9-4B5D-BC3E-9641D5EE2665}"/>
    <hyperlink ref="B9" location="'Ann 8'!A1" display="'Ann 8'!A1" xr:uid="{856D0F85-1A45-43CB-945C-4C3EDA08C998}"/>
    <hyperlink ref="B10" location="'Ann 9'!A1" display="'Ann 9'!A1" xr:uid="{BA48D8DE-D0A8-47E2-86A5-DDCD9320B1F8}"/>
    <hyperlink ref="B11" location="'Ann 10'!A1" display="'Ann 10'!A1" xr:uid="{4F37368D-B31D-4EE0-9799-B36340D6ACBC}"/>
    <hyperlink ref="B12" location="'Ann 11'!A1" display="'Ann 11'!A1" xr:uid="{846356C0-03C0-4F90-935D-FABC78F589CB}"/>
    <hyperlink ref="B13" location="'Ann 13'!A1" display="'Ann 13'!A1" xr:uid="{BBB94A63-C342-450D-9E43-3CF8ACECC8F9}"/>
    <hyperlink ref="B14" location="Assumptions!A1" display="Assumptions!A1" xr:uid="{5E102EDC-FB7C-4D42-AE7A-BADA585B8628}"/>
    <hyperlink ref="B16" location="Budgets!A1" display="Budgets!A1" xr:uid="{46515933-C6F5-4184-9C16-8F50C303C6B3}"/>
    <hyperlink ref="B15" location="'Cash flows'!A1" display="'Cash flows'!A1" xr:uid="{93E2A906-8478-42F4-9C48-479FE8F4A41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58</v>
      </c>
    </row>
    <row r="3" spans="1:11" x14ac:dyDescent="0.35">
      <c r="C3" s="94" t="s">
        <v>59</v>
      </c>
      <c r="D3" s="94"/>
      <c r="E3" s="94"/>
      <c r="F3" s="94"/>
      <c r="G3" s="94"/>
      <c r="H3" s="94"/>
      <c r="I3" s="94"/>
      <c r="J3" s="94"/>
      <c r="K3" s="94"/>
    </row>
    <row r="4" spans="1:11" x14ac:dyDescent="0.35">
      <c r="C4">
        <v>1</v>
      </c>
      <c r="D4">
        <v>2</v>
      </c>
      <c r="E4">
        <v>3</v>
      </c>
      <c r="F4">
        <v>4</v>
      </c>
      <c r="G4">
        <v>5</v>
      </c>
      <c r="H4">
        <v>6</v>
      </c>
      <c r="I4">
        <v>7</v>
      </c>
      <c r="J4">
        <v>8</v>
      </c>
      <c r="K4">
        <v>9</v>
      </c>
    </row>
    <row r="5" spans="1:11" x14ac:dyDescent="0.35">
      <c r="A5" t="s">
        <v>60</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61</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62</v>
      </c>
    </row>
  </sheetData>
  <mergeCells count="1">
    <mergeCell ref="C3:K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40"/>
  <sheetViews>
    <sheetView topLeftCell="A21" workbookViewId="0">
      <selection activeCell="A41" sqref="A41"/>
    </sheetView>
  </sheetViews>
  <sheetFormatPr defaultRowHeight="14.5" x14ac:dyDescent="0.35"/>
  <cols>
    <col min="1" max="1" width="4.54296875" bestFit="1" customWidth="1"/>
    <col min="2" max="2" width="7.36328125" bestFit="1" customWidth="1"/>
    <col min="3" max="3" width="17.81640625" bestFit="1" customWidth="1"/>
    <col min="4" max="4" width="17.36328125" bestFit="1" customWidth="1"/>
    <col min="5" max="5" width="7.26953125" bestFit="1" customWidth="1"/>
  </cols>
  <sheetData>
    <row r="1" spans="1:7" x14ac:dyDescent="0.35">
      <c r="A1" s="15" t="s">
        <v>68</v>
      </c>
    </row>
    <row r="3" spans="1:7" x14ac:dyDescent="0.35">
      <c r="A3" s="3" t="s">
        <v>69</v>
      </c>
    </row>
    <row r="4" spans="1:7" x14ac:dyDescent="0.35">
      <c r="A4" t="s">
        <v>70</v>
      </c>
      <c r="D4" s="2">
        <f>'Ann 2'!C6</f>
        <v>29.7</v>
      </c>
    </row>
    <row r="5" spans="1:7" x14ac:dyDescent="0.35">
      <c r="A5" t="s">
        <v>266</v>
      </c>
      <c r="D5" s="2">
        <f>20%*'Ann 2'!C8</f>
        <v>6.6000000000000005</v>
      </c>
    </row>
    <row r="6" spans="1:7" x14ac:dyDescent="0.35">
      <c r="A6" t="s">
        <v>71</v>
      </c>
      <c r="D6" s="85">
        <v>0.06</v>
      </c>
    </row>
    <row r="7" spans="1:7" x14ac:dyDescent="0.35">
      <c r="A7" t="s">
        <v>72</v>
      </c>
      <c r="D7" s="86" t="s">
        <v>132</v>
      </c>
    </row>
    <row r="9" spans="1:7" x14ac:dyDescent="0.35">
      <c r="A9" s="22" t="s">
        <v>49</v>
      </c>
      <c r="B9" s="22" t="s">
        <v>73</v>
      </c>
      <c r="C9" s="22" t="s">
        <v>74</v>
      </c>
      <c r="D9" s="22" t="s">
        <v>76</v>
      </c>
      <c r="E9" s="22" t="s">
        <v>75</v>
      </c>
    </row>
    <row r="10" spans="1:7" x14ac:dyDescent="0.35">
      <c r="A10" s="95">
        <v>1</v>
      </c>
      <c r="B10" s="9">
        <v>1</v>
      </c>
      <c r="C10" s="49">
        <f>$D$4</f>
        <v>29.7</v>
      </c>
      <c r="D10" s="9">
        <v>0</v>
      </c>
      <c r="E10" s="9">
        <f>C10*$D$6/4</f>
        <v>0.44549999999999995</v>
      </c>
    </row>
    <row r="11" spans="1:7" x14ac:dyDescent="0.35">
      <c r="A11" s="95"/>
      <c r="B11" s="9">
        <v>2</v>
      </c>
      <c r="C11" s="49">
        <f>$D$4</f>
        <v>29.7</v>
      </c>
      <c r="D11" s="9">
        <v>0</v>
      </c>
      <c r="E11" s="9">
        <f t="shared" ref="E11:E37" si="0">C11*$D$6/4</f>
        <v>0.44549999999999995</v>
      </c>
      <c r="G11" s="52"/>
    </row>
    <row r="12" spans="1:7" x14ac:dyDescent="0.35">
      <c r="A12" s="95"/>
      <c r="B12" s="9">
        <v>3</v>
      </c>
      <c r="C12" s="49">
        <f>$D$4</f>
        <v>29.7</v>
      </c>
      <c r="D12" s="9">
        <v>1.1399999999999999</v>
      </c>
      <c r="E12" s="9">
        <f t="shared" si="0"/>
        <v>0.44549999999999995</v>
      </c>
    </row>
    <row r="13" spans="1:7" x14ac:dyDescent="0.35">
      <c r="A13" s="95"/>
      <c r="B13" s="9">
        <v>4</v>
      </c>
      <c r="C13" s="9">
        <f t="shared" ref="C13:C36" si="1">C12-D12</f>
        <v>28.56</v>
      </c>
      <c r="D13" s="9">
        <f>D12</f>
        <v>1.1399999999999999</v>
      </c>
      <c r="E13" s="9">
        <f t="shared" si="0"/>
        <v>0.42839999999999995</v>
      </c>
    </row>
    <row r="14" spans="1:7" x14ac:dyDescent="0.35">
      <c r="A14" s="95">
        <v>2</v>
      </c>
      <c r="B14" s="9">
        <v>1</v>
      </c>
      <c r="C14" s="9">
        <f t="shared" si="1"/>
        <v>27.419999999999998</v>
      </c>
      <c r="D14" s="9">
        <f t="shared" ref="D14:D36" si="2">D13</f>
        <v>1.1399999999999999</v>
      </c>
      <c r="E14" s="9">
        <f t="shared" si="0"/>
        <v>0.41129999999999994</v>
      </c>
    </row>
    <row r="15" spans="1:7" x14ac:dyDescent="0.35">
      <c r="A15" s="95"/>
      <c r="B15" s="9">
        <v>2</v>
      </c>
      <c r="C15" s="9">
        <f t="shared" si="1"/>
        <v>26.279999999999998</v>
      </c>
      <c r="D15" s="9">
        <f t="shared" si="2"/>
        <v>1.1399999999999999</v>
      </c>
      <c r="E15" s="9">
        <f t="shared" si="0"/>
        <v>0.39419999999999994</v>
      </c>
    </row>
    <row r="16" spans="1:7" x14ac:dyDescent="0.35">
      <c r="A16" s="95"/>
      <c r="B16" s="9">
        <v>3</v>
      </c>
      <c r="C16" s="9">
        <f t="shared" si="1"/>
        <v>25.139999999999997</v>
      </c>
      <c r="D16" s="9">
        <f t="shared" si="2"/>
        <v>1.1399999999999999</v>
      </c>
      <c r="E16" s="9">
        <f t="shared" si="0"/>
        <v>0.37709999999999994</v>
      </c>
    </row>
    <row r="17" spans="1:5" x14ac:dyDescent="0.35">
      <c r="A17" s="95"/>
      <c r="B17" s="9">
        <v>4</v>
      </c>
      <c r="C17" s="9">
        <f t="shared" si="1"/>
        <v>23.999999999999996</v>
      </c>
      <c r="D17" s="9">
        <f t="shared" si="2"/>
        <v>1.1399999999999999</v>
      </c>
      <c r="E17" s="9">
        <f t="shared" si="0"/>
        <v>0.35999999999999993</v>
      </c>
    </row>
    <row r="18" spans="1:5" x14ac:dyDescent="0.35">
      <c r="A18" s="95">
        <v>3</v>
      </c>
      <c r="B18" s="9">
        <v>1</v>
      </c>
      <c r="C18" s="9">
        <f t="shared" si="1"/>
        <v>22.859999999999996</v>
      </c>
      <c r="D18" s="9">
        <f t="shared" si="2"/>
        <v>1.1399999999999999</v>
      </c>
      <c r="E18" s="9">
        <f t="shared" si="0"/>
        <v>0.34289999999999993</v>
      </c>
    </row>
    <row r="19" spans="1:5" x14ac:dyDescent="0.35">
      <c r="A19" s="95"/>
      <c r="B19" s="9">
        <v>2</v>
      </c>
      <c r="C19" s="9">
        <f t="shared" si="1"/>
        <v>21.719999999999995</v>
      </c>
      <c r="D19" s="9">
        <f t="shared" si="2"/>
        <v>1.1399999999999999</v>
      </c>
      <c r="E19" s="9">
        <f t="shared" si="0"/>
        <v>0.32579999999999992</v>
      </c>
    </row>
    <row r="20" spans="1:5" x14ac:dyDescent="0.35">
      <c r="A20" s="95"/>
      <c r="B20" s="9">
        <v>3</v>
      </c>
      <c r="C20" s="9">
        <f t="shared" si="1"/>
        <v>20.579999999999995</v>
      </c>
      <c r="D20" s="9">
        <f t="shared" si="2"/>
        <v>1.1399999999999999</v>
      </c>
      <c r="E20" s="9">
        <f t="shared" si="0"/>
        <v>0.30869999999999992</v>
      </c>
    </row>
    <row r="21" spans="1:5" x14ac:dyDescent="0.35">
      <c r="A21" s="95"/>
      <c r="B21" s="9">
        <v>4</v>
      </c>
      <c r="C21" s="9">
        <f t="shared" si="1"/>
        <v>19.439999999999994</v>
      </c>
      <c r="D21" s="9">
        <f t="shared" si="2"/>
        <v>1.1399999999999999</v>
      </c>
      <c r="E21" s="9">
        <f t="shared" si="0"/>
        <v>0.29159999999999991</v>
      </c>
    </row>
    <row r="22" spans="1:5" x14ac:dyDescent="0.35">
      <c r="A22" s="95">
        <v>4</v>
      </c>
      <c r="B22" s="9">
        <v>1</v>
      </c>
      <c r="C22" s="9">
        <f t="shared" si="1"/>
        <v>18.299999999999994</v>
      </c>
      <c r="D22" s="9">
        <f t="shared" si="2"/>
        <v>1.1399999999999999</v>
      </c>
      <c r="E22" s="9">
        <f t="shared" si="0"/>
        <v>0.27449999999999991</v>
      </c>
    </row>
    <row r="23" spans="1:5" x14ac:dyDescent="0.35">
      <c r="A23" s="95"/>
      <c r="B23" s="9">
        <v>2</v>
      </c>
      <c r="C23" s="9">
        <f t="shared" si="1"/>
        <v>17.159999999999993</v>
      </c>
      <c r="D23" s="9">
        <f t="shared" si="2"/>
        <v>1.1399999999999999</v>
      </c>
      <c r="E23" s="9">
        <f t="shared" si="0"/>
        <v>0.25739999999999991</v>
      </c>
    </row>
    <row r="24" spans="1:5" x14ac:dyDescent="0.35">
      <c r="A24" s="95"/>
      <c r="B24" s="9">
        <v>3</v>
      </c>
      <c r="C24" s="9">
        <f t="shared" si="1"/>
        <v>16.019999999999992</v>
      </c>
      <c r="D24" s="9">
        <f t="shared" si="2"/>
        <v>1.1399999999999999</v>
      </c>
      <c r="E24" s="9">
        <f t="shared" si="0"/>
        <v>0.24029999999999987</v>
      </c>
    </row>
    <row r="25" spans="1:5" x14ac:dyDescent="0.35">
      <c r="A25" s="95"/>
      <c r="B25" s="9">
        <v>4</v>
      </c>
      <c r="C25" s="9">
        <f t="shared" si="1"/>
        <v>14.879999999999992</v>
      </c>
      <c r="D25" s="9">
        <f t="shared" si="2"/>
        <v>1.1399999999999999</v>
      </c>
      <c r="E25" s="9">
        <f t="shared" si="0"/>
        <v>0.22319999999999987</v>
      </c>
    </row>
    <row r="26" spans="1:5" x14ac:dyDescent="0.35">
      <c r="A26" s="95">
        <v>5</v>
      </c>
      <c r="B26" s="9">
        <v>1</v>
      </c>
      <c r="C26" s="9">
        <f t="shared" si="1"/>
        <v>13.739999999999991</v>
      </c>
      <c r="D26" s="9">
        <f t="shared" si="2"/>
        <v>1.1399999999999999</v>
      </c>
      <c r="E26" s="9">
        <f t="shared" si="0"/>
        <v>0.20609999999999987</v>
      </c>
    </row>
    <row r="27" spans="1:5" x14ac:dyDescent="0.35">
      <c r="A27" s="95"/>
      <c r="B27" s="9">
        <v>2</v>
      </c>
      <c r="C27" s="9">
        <f t="shared" si="1"/>
        <v>12.599999999999991</v>
      </c>
      <c r="D27" s="9">
        <f t="shared" si="2"/>
        <v>1.1399999999999999</v>
      </c>
      <c r="E27" s="9">
        <f t="shared" si="0"/>
        <v>0.18899999999999986</v>
      </c>
    </row>
    <row r="28" spans="1:5" x14ac:dyDescent="0.35">
      <c r="A28" s="95"/>
      <c r="B28" s="9">
        <v>3</v>
      </c>
      <c r="C28" s="9">
        <f t="shared" si="1"/>
        <v>11.45999999999999</v>
      </c>
      <c r="D28" s="9">
        <f t="shared" si="2"/>
        <v>1.1399999999999999</v>
      </c>
      <c r="E28" s="9">
        <f t="shared" si="0"/>
        <v>0.17189999999999986</v>
      </c>
    </row>
    <row r="29" spans="1:5" x14ac:dyDescent="0.35">
      <c r="A29" s="95"/>
      <c r="B29" s="9">
        <v>4</v>
      </c>
      <c r="C29" s="9">
        <f t="shared" si="1"/>
        <v>10.31999999999999</v>
      </c>
      <c r="D29" s="9">
        <f t="shared" si="2"/>
        <v>1.1399999999999999</v>
      </c>
      <c r="E29" s="9">
        <f t="shared" si="0"/>
        <v>0.15479999999999983</v>
      </c>
    </row>
    <row r="30" spans="1:5" x14ac:dyDescent="0.35">
      <c r="A30" s="95">
        <v>6</v>
      </c>
      <c r="B30" s="9">
        <v>1</v>
      </c>
      <c r="C30" s="9">
        <f t="shared" si="1"/>
        <v>9.1799999999999891</v>
      </c>
      <c r="D30" s="9">
        <f t="shared" si="2"/>
        <v>1.1399999999999999</v>
      </c>
      <c r="E30" s="9">
        <f t="shared" si="0"/>
        <v>0.13769999999999982</v>
      </c>
    </row>
    <row r="31" spans="1:5" x14ac:dyDescent="0.35">
      <c r="A31" s="95"/>
      <c r="B31" s="9">
        <v>2</v>
      </c>
      <c r="C31" s="9">
        <f t="shared" si="1"/>
        <v>8.0399999999999885</v>
      </c>
      <c r="D31" s="9">
        <f t="shared" si="2"/>
        <v>1.1399999999999999</v>
      </c>
      <c r="E31" s="9">
        <f t="shared" si="0"/>
        <v>0.12059999999999982</v>
      </c>
    </row>
    <row r="32" spans="1:5" x14ac:dyDescent="0.35">
      <c r="A32" s="95"/>
      <c r="B32" s="9">
        <v>3</v>
      </c>
      <c r="C32" s="9">
        <f t="shared" si="1"/>
        <v>6.8999999999999888</v>
      </c>
      <c r="D32" s="9">
        <v>0.3</v>
      </c>
      <c r="E32" s="9">
        <f t="shared" si="0"/>
        <v>0.10349999999999983</v>
      </c>
    </row>
    <row r="33" spans="1:6" x14ac:dyDescent="0.35">
      <c r="A33" s="95"/>
      <c r="B33" s="9">
        <v>4</v>
      </c>
      <c r="C33" s="9">
        <f t="shared" si="1"/>
        <v>6.599999999999989</v>
      </c>
      <c r="D33" s="9">
        <v>0</v>
      </c>
      <c r="E33" s="9">
        <v>0</v>
      </c>
      <c r="F33" t="s">
        <v>267</v>
      </c>
    </row>
    <row r="34" spans="1:6" x14ac:dyDescent="0.35">
      <c r="A34" s="95">
        <v>7</v>
      </c>
      <c r="B34" s="9">
        <v>1</v>
      </c>
      <c r="C34" s="9">
        <v>0</v>
      </c>
      <c r="D34" s="9">
        <f t="shared" si="2"/>
        <v>0</v>
      </c>
      <c r="E34" s="9">
        <f t="shared" si="0"/>
        <v>0</v>
      </c>
    </row>
    <row r="35" spans="1:6" x14ac:dyDescent="0.35">
      <c r="A35" s="95"/>
      <c r="B35" s="9">
        <v>2</v>
      </c>
      <c r="C35" s="9">
        <f t="shared" si="1"/>
        <v>0</v>
      </c>
      <c r="D35" s="9">
        <f t="shared" si="2"/>
        <v>0</v>
      </c>
      <c r="E35" s="9">
        <f t="shared" si="0"/>
        <v>0</v>
      </c>
    </row>
    <row r="36" spans="1:6" x14ac:dyDescent="0.35">
      <c r="A36" s="95"/>
      <c r="B36" s="9">
        <v>3</v>
      </c>
      <c r="C36" s="9">
        <f t="shared" si="1"/>
        <v>0</v>
      </c>
      <c r="D36" s="9">
        <f t="shared" si="2"/>
        <v>0</v>
      </c>
      <c r="E36" s="9">
        <f t="shared" si="0"/>
        <v>0</v>
      </c>
    </row>
    <row r="37" spans="1:6" x14ac:dyDescent="0.35">
      <c r="A37" s="95"/>
      <c r="B37" s="9">
        <v>4</v>
      </c>
      <c r="C37" s="9">
        <f t="shared" ref="C37" si="3">C36-D36</f>
        <v>0</v>
      </c>
      <c r="D37" s="49">
        <v>0</v>
      </c>
      <c r="E37" s="9">
        <f t="shared" si="0"/>
        <v>0</v>
      </c>
    </row>
    <row r="39" spans="1:6" ht="58.5" customHeight="1" x14ac:dyDescent="0.35">
      <c r="A39" s="93" t="s">
        <v>268</v>
      </c>
      <c r="B39" s="93"/>
      <c r="C39" s="93"/>
      <c r="D39" s="93"/>
      <c r="E39" s="93"/>
    </row>
    <row r="40" spans="1:6" ht="57" customHeight="1" x14ac:dyDescent="0.35">
      <c r="A40" s="93" t="s">
        <v>269</v>
      </c>
      <c r="B40" s="93"/>
      <c r="C40" s="93"/>
      <c r="D40" s="93"/>
      <c r="E40" s="93"/>
    </row>
  </sheetData>
  <mergeCells count="9">
    <mergeCell ref="A39:E39"/>
    <mergeCell ref="A40:E40"/>
    <mergeCell ref="A34:A37"/>
    <mergeCell ref="A10:A13"/>
    <mergeCell ref="A14:A17"/>
    <mergeCell ref="A18:A21"/>
    <mergeCell ref="A22:A25"/>
    <mergeCell ref="A26:A29"/>
    <mergeCell ref="A30:A3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19</v>
      </c>
      <c r="C2" t="s">
        <v>20</v>
      </c>
      <c r="D2" t="s">
        <v>21</v>
      </c>
      <c r="E2" t="s">
        <v>22</v>
      </c>
      <c r="F2" t="s">
        <v>23</v>
      </c>
      <c r="G2" t="s">
        <v>24</v>
      </c>
      <c r="H2" t="s">
        <v>25</v>
      </c>
      <c r="I2" t="s">
        <v>26</v>
      </c>
      <c r="J2" t="s">
        <v>27</v>
      </c>
    </row>
    <row r="3" spans="1:10" x14ac:dyDescent="0.35">
      <c r="A3" t="s">
        <v>158</v>
      </c>
      <c r="B3" s="2">
        <f>'Ann 4'!C17/100000</f>
        <v>12.96</v>
      </c>
      <c r="C3" s="2">
        <f>'Ann 4'!D17/100000</f>
        <v>15.147000000000002</v>
      </c>
      <c r="D3" s="2">
        <f>'Ann 4'!E17/100000</f>
        <v>16.038000000000004</v>
      </c>
      <c r="E3" s="2">
        <f>'Ann 4'!F17/100000</f>
        <v>16.929000000000002</v>
      </c>
      <c r="F3" s="2">
        <f>'Ann 4'!G17/100000</f>
        <v>17.820000000000004</v>
      </c>
      <c r="G3" s="2">
        <f>'Ann 4'!H17/100000</f>
        <v>17.820000000000004</v>
      </c>
      <c r="H3" s="2">
        <f>'Ann 4'!I17/100000</f>
        <v>17.820000000000004</v>
      </c>
      <c r="I3" s="2">
        <f>'Ann 4'!J17/100000</f>
        <v>17.820000000000004</v>
      </c>
      <c r="J3" s="2">
        <f>'Ann 4'!K17/100000</f>
        <v>17.820000000000004</v>
      </c>
    </row>
    <row r="4" spans="1:10" x14ac:dyDescent="0.35">
      <c r="A4" t="s">
        <v>159</v>
      </c>
      <c r="B4" s="2">
        <f>'Ann 4'!C16/100000</f>
        <v>4.2960000000000003</v>
      </c>
      <c r="C4" s="2">
        <f>'Ann 4'!D16/100000</f>
        <v>4.5273000000000003</v>
      </c>
      <c r="D4" s="2">
        <f>'Ann 4'!E16/100000</f>
        <v>4.7718150000000001</v>
      </c>
      <c r="E4" s="2">
        <f>'Ann 4'!F16/100000</f>
        <v>5.0303707500000003</v>
      </c>
      <c r="F4" s="2">
        <f>'Ann 4'!G16/100000</f>
        <v>5.3038507875000001</v>
      </c>
      <c r="G4" s="2">
        <f>'Ann 4'!H16/100000</f>
        <v>5.5932009768750008</v>
      </c>
      <c r="H4" s="2">
        <f>'Ann 4'!I16/100000</f>
        <v>5.8994344407187507</v>
      </c>
      <c r="I4" s="2">
        <f>'Ann 4'!J16/100000</f>
        <v>6.2236369192546883</v>
      </c>
      <c r="J4" s="2">
        <f>'Ann 4'!K16/100000</f>
        <v>6.5669725973674238</v>
      </c>
    </row>
    <row r="5" spans="1:10" x14ac:dyDescent="0.35">
      <c r="A5" t="s">
        <v>160</v>
      </c>
      <c r="B5" s="2">
        <f>B3-B4</f>
        <v>8.6640000000000015</v>
      </c>
      <c r="C5" s="2">
        <f t="shared" ref="C5:J5" si="0">C3-C4</f>
        <v>10.619700000000002</v>
      </c>
      <c r="D5" s="2">
        <f t="shared" si="0"/>
        <v>11.266185000000004</v>
      </c>
      <c r="E5" s="2">
        <f t="shared" si="0"/>
        <v>11.898629250000003</v>
      </c>
      <c r="F5" s="2">
        <f t="shared" si="0"/>
        <v>12.516149212500004</v>
      </c>
      <c r="G5" s="2">
        <f t="shared" si="0"/>
        <v>12.226799023125004</v>
      </c>
      <c r="H5" s="2">
        <f t="shared" si="0"/>
        <v>11.920565559281254</v>
      </c>
      <c r="I5" s="2">
        <f t="shared" si="0"/>
        <v>11.596363080745316</v>
      </c>
      <c r="J5" s="2">
        <f t="shared" si="0"/>
        <v>11.253027402632579</v>
      </c>
    </row>
    <row r="6" spans="1:10" x14ac:dyDescent="0.35">
      <c r="A6" t="s">
        <v>161</v>
      </c>
      <c r="B6" s="2">
        <f>B5</f>
        <v>8.6640000000000015</v>
      </c>
      <c r="C6" s="2">
        <f t="shared" ref="C6:J6" si="1">C5</f>
        <v>10.619700000000002</v>
      </c>
      <c r="D6" s="2">
        <f t="shared" si="1"/>
        <v>11.266185000000004</v>
      </c>
      <c r="E6" s="2">
        <f t="shared" si="1"/>
        <v>11.898629250000003</v>
      </c>
      <c r="F6" s="2">
        <f t="shared" si="1"/>
        <v>12.516149212500004</v>
      </c>
      <c r="G6" s="2">
        <f t="shared" si="1"/>
        <v>12.226799023125004</v>
      </c>
      <c r="H6" s="2">
        <f t="shared" si="1"/>
        <v>11.920565559281254</v>
      </c>
      <c r="I6" s="2">
        <f t="shared" si="1"/>
        <v>11.596363080745316</v>
      </c>
      <c r="J6" s="2">
        <f t="shared" si="1"/>
        <v>11.253027402632579</v>
      </c>
    </row>
    <row r="7" spans="1:10" x14ac:dyDescent="0.35">
      <c r="A7" t="s">
        <v>162</v>
      </c>
      <c r="B7" s="56">
        <f>'Ann 4'!C27/100000</f>
        <v>1.9491000000000001</v>
      </c>
      <c r="C7" s="56">
        <f>'Ann 4'!D27/100000</f>
        <v>4.8696000000000019</v>
      </c>
      <c r="D7" s="56">
        <f>'Ann 4'!E27/100000</f>
        <v>6.4208100000000021</v>
      </c>
      <c r="E7" s="56">
        <f>'Ann 4'!F27/100000</f>
        <v>7.8633105000000025</v>
      </c>
      <c r="F7" s="56">
        <f>'Ann 4'!G27/100000</f>
        <v>9.2104182750000021</v>
      </c>
      <c r="G7" s="56">
        <f>'Ann 4'!H27/100000</f>
        <v>16.268657726250002</v>
      </c>
      <c r="H7" s="56">
        <f>'Ann 4'!I27/100000</f>
        <v>10.0536754569375</v>
      </c>
      <c r="I7" s="56">
        <f>'Ann 4'!J27/100000</f>
        <v>10.009506493753126</v>
      </c>
      <c r="J7" s="56">
        <f>'Ann 4'!K27/100000</f>
        <v>9.9041993036892197</v>
      </c>
    </row>
    <row r="8" spans="1:10" x14ac:dyDescent="0.35">
      <c r="A8" t="s">
        <v>163</v>
      </c>
      <c r="B8" s="56">
        <f>'Ann 4'!C29/100000</f>
        <v>1.3643700000000001</v>
      </c>
      <c r="C8" s="56">
        <f>'Ann 4'!D29/100000</f>
        <v>3.4087200000000015</v>
      </c>
      <c r="D8" s="56">
        <f>'Ann 4'!E29/100000</f>
        <v>4.4945670000000018</v>
      </c>
      <c r="E8" s="56">
        <f>'Ann 4'!F29/100000</f>
        <v>5.5043173500000018</v>
      </c>
      <c r="F8" s="56">
        <f>'Ann 4'!G29/100000</f>
        <v>6.4472927925000016</v>
      </c>
      <c r="G8" s="56">
        <f>'Ann 4'!H29/100000</f>
        <v>13.368060408375003</v>
      </c>
      <c r="H8" s="56">
        <f>'Ann 4'!I29/100000</f>
        <v>7.0375728198562504</v>
      </c>
      <c r="I8" s="56">
        <f>'Ann 4'!J29/100000</f>
        <v>7.0066545456271889</v>
      </c>
      <c r="J8" s="56">
        <f>'Ann 4'!K29/100000</f>
        <v>6.932939512582454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K27"/>
  <sheetViews>
    <sheetView workbookViewId="0">
      <selection activeCell="G15" sqref="G15"/>
    </sheetView>
  </sheetViews>
  <sheetFormatPr defaultRowHeight="14.5" x14ac:dyDescent="0.35"/>
  <cols>
    <col min="1" max="1" width="41.1796875" style="52" bestFit="1" customWidth="1"/>
    <col min="2" max="10" width="14.7265625" style="52" bestFit="1" customWidth="1"/>
    <col min="11" max="11" width="13.6328125" style="52" bestFit="1" customWidth="1"/>
    <col min="12" max="16384" width="8.7265625" style="52"/>
  </cols>
  <sheetData>
    <row r="1" spans="1:10" x14ac:dyDescent="0.35">
      <c r="A1" s="73" t="s">
        <v>143</v>
      </c>
    </row>
    <row r="2" spans="1:10" x14ac:dyDescent="0.35">
      <c r="A2" s="73"/>
    </row>
    <row r="3" spans="1:10" x14ac:dyDescent="0.35">
      <c r="A3" s="74" t="s">
        <v>3</v>
      </c>
      <c r="B3" s="74" t="s">
        <v>19</v>
      </c>
      <c r="C3" s="74" t="s">
        <v>20</v>
      </c>
      <c r="D3" s="74" t="s">
        <v>21</v>
      </c>
      <c r="E3" s="74" t="s">
        <v>22</v>
      </c>
      <c r="F3" s="74" t="s">
        <v>23</v>
      </c>
      <c r="G3" s="74" t="s">
        <v>24</v>
      </c>
      <c r="H3" s="74" t="s">
        <v>25</v>
      </c>
      <c r="I3" s="74" t="s">
        <v>26</v>
      </c>
      <c r="J3" s="74" t="s">
        <v>27</v>
      </c>
    </row>
    <row r="4" spans="1:10" x14ac:dyDescent="0.35">
      <c r="A4" s="75" t="s">
        <v>138</v>
      </c>
      <c r="B4" s="76">
        <v>0</v>
      </c>
      <c r="C4" s="76">
        <f>B16</f>
        <v>317831.09999999998</v>
      </c>
      <c r="D4" s="76">
        <f t="shared" ref="D4:J4" si="0">C16</f>
        <v>385832.7</v>
      </c>
      <c r="E4" s="76">
        <f t="shared" si="0"/>
        <v>423396.21</v>
      </c>
      <c r="F4" s="76">
        <f t="shared" si="0"/>
        <v>437715.50550000014</v>
      </c>
      <c r="G4" s="76">
        <f t="shared" si="0"/>
        <v>434845.07302500057</v>
      </c>
      <c r="H4" s="76">
        <f t="shared" si="0"/>
        <v>138970.4739637509</v>
      </c>
      <c r="I4" s="76">
        <f t="shared" si="0"/>
        <v>538381.07369381352</v>
      </c>
      <c r="J4" s="76">
        <f t="shared" si="0"/>
        <v>909020.21415184787</v>
      </c>
    </row>
    <row r="5" spans="1:10" x14ac:dyDescent="0.35">
      <c r="A5" s="75" t="s">
        <v>139</v>
      </c>
      <c r="B5" s="76">
        <f>'Ann 4'!C17</f>
        <v>1296000</v>
      </c>
      <c r="C5" s="76">
        <f>'Ann 4'!D17</f>
        <v>1514700.0000000002</v>
      </c>
      <c r="D5" s="76">
        <f>'Ann 4'!E17</f>
        <v>1603800.0000000002</v>
      </c>
      <c r="E5" s="76">
        <f>'Ann 4'!F17</f>
        <v>1692900.0000000002</v>
      </c>
      <c r="F5" s="76">
        <f>'Ann 4'!G17</f>
        <v>1782000.0000000002</v>
      </c>
      <c r="G5" s="76">
        <f>'Ann 4'!H17</f>
        <v>1782000.0000000002</v>
      </c>
      <c r="H5" s="76">
        <f>'Ann 4'!I17</f>
        <v>1782000.0000000002</v>
      </c>
      <c r="I5" s="76">
        <f>'Ann 4'!J17</f>
        <v>1782000.0000000002</v>
      </c>
      <c r="J5" s="76">
        <f>'Ann 4'!K17</f>
        <v>1782000.0000000002</v>
      </c>
    </row>
    <row r="6" spans="1:10" x14ac:dyDescent="0.35">
      <c r="A6" s="75" t="s">
        <v>144</v>
      </c>
      <c r="B6" s="76">
        <v>0</v>
      </c>
      <c r="C6" s="76">
        <f>'Ann 5'!C21</f>
        <v>9900</v>
      </c>
      <c r="D6" s="76">
        <f>'Ann 5'!D21</f>
        <v>10890</v>
      </c>
      <c r="E6" s="76">
        <f>'Ann 5'!E21</f>
        <v>11979</v>
      </c>
      <c r="F6" s="76">
        <f>'Ann 5'!F21</f>
        <v>13176.9</v>
      </c>
      <c r="G6" s="76">
        <f>'Ann 5'!G21</f>
        <v>14494.59</v>
      </c>
      <c r="H6" s="76">
        <f>'Ann 5'!H21</f>
        <v>15944.049000000005</v>
      </c>
      <c r="I6" s="76">
        <f>'Ann 5'!I21</f>
        <v>17538.453900000004</v>
      </c>
      <c r="J6" s="76">
        <f>'Ann 5'!J21</f>
        <v>19292.299290000006</v>
      </c>
    </row>
    <row r="7" spans="1:10" x14ac:dyDescent="0.35">
      <c r="A7" s="75" t="s">
        <v>145</v>
      </c>
      <c r="B7" s="76">
        <v>0</v>
      </c>
      <c r="C7" s="76">
        <v>0</v>
      </c>
      <c r="D7" s="76">
        <v>0</v>
      </c>
      <c r="E7" s="76">
        <v>0</v>
      </c>
      <c r="F7" s="76">
        <v>0</v>
      </c>
      <c r="G7" s="76">
        <v>0</v>
      </c>
      <c r="H7" s="76">
        <v>0</v>
      </c>
      <c r="I7" s="76">
        <v>0</v>
      </c>
      <c r="J7" s="76">
        <v>0</v>
      </c>
    </row>
    <row r="8" spans="1:10" x14ac:dyDescent="0.35">
      <c r="A8" s="75" t="s">
        <v>241</v>
      </c>
      <c r="B8" s="76">
        <f>'Ann 4'!C10-'Ann 5'!C21+'Ann 4'!C13</f>
        <v>419700</v>
      </c>
      <c r="C8" s="76">
        <f>'Ann 4'!D10-'Ann 5'!D21+'Ann 4'!D13</f>
        <v>441840</v>
      </c>
      <c r="D8" s="76">
        <f>'Ann 4'!E10-'Ann 5'!E21+'Ann 4'!E13</f>
        <v>465202.5</v>
      </c>
      <c r="E8" s="76">
        <f>'Ann 4'!F10-'Ann 5'!F21+'Ann 4'!F13</f>
        <v>489860.17499999999</v>
      </c>
      <c r="F8" s="76">
        <f>'Ann 4'!G10-'Ann 5'!G21+'Ann 4'!G13</f>
        <v>515890.48875000002</v>
      </c>
      <c r="G8" s="76">
        <f>'Ann 4'!H10-'Ann 5'!H21+'Ann 4'!H13</f>
        <v>543376.04868750006</v>
      </c>
      <c r="H8" s="76">
        <f>'Ann 4'!I10-'Ann 5'!I21+'Ann 4'!I13</f>
        <v>572404.99017187499</v>
      </c>
      <c r="I8" s="76">
        <f>'Ann 4'!J10-'Ann 5'!J21+'Ann 4'!J13</f>
        <v>603071.39263546886</v>
      </c>
      <c r="J8" s="76">
        <f>'Ann 4'!K10-'Ann 5'!K21+'Ann 4'!K13</f>
        <v>635475.73051774234</v>
      </c>
    </row>
    <row r="9" spans="1:10" x14ac:dyDescent="0.35">
      <c r="A9" s="75" t="s">
        <v>140</v>
      </c>
      <c r="B9" s="76">
        <f>'Ann 4'!C22</f>
        <v>176489.99999999997</v>
      </c>
      <c r="C9" s="76">
        <f>'Ann 4'!D22</f>
        <v>154259.99999999997</v>
      </c>
      <c r="D9" s="76">
        <f>'Ann 4'!E22</f>
        <v>126899.99999999997</v>
      </c>
      <c r="E9" s="76">
        <f>'Ann 4'!F22</f>
        <v>99539.999999999956</v>
      </c>
      <c r="F9" s="76">
        <f>'Ann 4'!G22</f>
        <v>72179.999999999942</v>
      </c>
      <c r="G9" s="76">
        <f>'Ann 4'!H22</f>
        <v>36179.999999999949</v>
      </c>
      <c r="H9" s="76">
        <f>'Ann 4'!I22</f>
        <v>0</v>
      </c>
      <c r="I9" s="76">
        <f>'Ann 4'!J22</f>
        <v>0</v>
      </c>
      <c r="J9" s="76">
        <f>'Ann 4'!K22</f>
        <v>0</v>
      </c>
    </row>
    <row r="10" spans="1:10" x14ac:dyDescent="0.35">
      <c r="A10" s="75"/>
      <c r="B10" s="76">
        <f>B4+B5-B6+B7-B8-B9</f>
        <v>699810</v>
      </c>
      <c r="C10" s="76">
        <f>C4+C5-C6+C7-C8-C9</f>
        <v>1226531.1000000001</v>
      </c>
      <c r="D10" s="76">
        <f t="shared" ref="D10:J10" si="1">D4+D5-D6+D7-D8-D9</f>
        <v>1386640.2000000002</v>
      </c>
      <c r="E10" s="76">
        <f t="shared" si="1"/>
        <v>1514917.0350000004</v>
      </c>
      <c r="F10" s="76">
        <f t="shared" si="1"/>
        <v>1618468.1167500005</v>
      </c>
      <c r="G10" s="76">
        <f t="shared" si="1"/>
        <v>1622794.4343375009</v>
      </c>
      <c r="H10" s="76">
        <f t="shared" si="1"/>
        <v>1332621.434791876</v>
      </c>
      <c r="I10" s="76">
        <f t="shared" si="1"/>
        <v>1699771.2271583448</v>
      </c>
      <c r="J10" s="76">
        <f t="shared" si="1"/>
        <v>2036252.1843441059</v>
      </c>
    </row>
    <row r="11" spans="1:10" x14ac:dyDescent="0.35">
      <c r="A11" s="75" t="s">
        <v>147</v>
      </c>
      <c r="B11" s="76">
        <f>'Ann 4'!C28</f>
        <v>58473</v>
      </c>
      <c r="C11" s="76">
        <f>'Ann 4'!D28</f>
        <v>146088.00000000006</v>
      </c>
      <c r="D11" s="76">
        <f>'Ann 4'!E28</f>
        <v>192624.30000000008</v>
      </c>
      <c r="E11" s="76">
        <f>'Ann 4'!F28</f>
        <v>235899.31500000006</v>
      </c>
      <c r="F11" s="76">
        <f>'Ann 4'!G28</f>
        <v>276312.54825000005</v>
      </c>
      <c r="G11" s="76">
        <f>'Ann 4'!H28</f>
        <v>290059.73178750003</v>
      </c>
      <c r="H11" s="76">
        <f>'Ann 4'!I28</f>
        <v>301610.26370812498</v>
      </c>
      <c r="I11" s="76">
        <f>'Ann 4'!J28</f>
        <v>300285.19481259375</v>
      </c>
      <c r="J11" s="76">
        <f>'Ann 4'!K28</f>
        <v>297125.97911067656</v>
      </c>
    </row>
    <row r="12" spans="1:10" x14ac:dyDescent="0.35">
      <c r="A12" s="75"/>
      <c r="B12" s="76">
        <f>B10-B11</f>
        <v>641337</v>
      </c>
      <c r="C12" s="76">
        <f t="shared" ref="C12:J12" si="2">C10-C11</f>
        <v>1080443.1000000001</v>
      </c>
      <c r="D12" s="76">
        <f t="shared" si="2"/>
        <v>1194015.9000000001</v>
      </c>
      <c r="E12" s="76">
        <f t="shared" si="2"/>
        <v>1279017.7200000002</v>
      </c>
      <c r="F12" s="76">
        <f t="shared" si="2"/>
        <v>1342155.5685000005</v>
      </c>
      <c r="G12" s="76">
        <f t="shared" si="2"/>
        <v>1332734.702550001</v>
      </c>
      <c r="H12" s="76">
        <f t="shared" si="2"/>
        <v>1031011.171083751</v>
      </c>
      <c r="I12" s="76">
        <f t="shared" si="2"/>
        <v>1399486.0323457511</v>
      </c>
      <c r="J12" s="76">
        <f t="shared" si="2"/>
        <v>1739126.2052334293</v>
      </c>
    </row>
    <row r="13" spans="1:10" x14ac:dyDescent="0.35">
      <c r="A13" s="75" t="s">
        <v>146</v>
      </c>
      <c r="B13" s="76">
        <f>'Ann 4'!C30</f>
        <v>95505.9</v>
      </c>
      <c r="C13" s="76">
        <f>'Ann 4'!D30</f>
        <v>238610.40000000011</v>
      </c>
      <c r="D13" s="76">
        <f>'Ann 4'!E30</f>
        <v>314619.69000000012</v>
      </c>
      <c r="E13" s="76">
        <f>'Ann 4'!F30</f>
        <v>385302.21450000012</v>
      </c>
      <c r="F13" s="76">
        <f>'Ann 4'!G30</f>
        <v>451310.49547500006</v>
      </c>
      <c r="G13" s="76">
        <f>'Ann 4'!H30</f>
        <v>935764.2285862501</v>
      </c>
      <c r="H13" s="76">
        <f>'Ann 4'!I30</f>
        <v>492630.09738993749</v>
      </c>
      <c r="I13" s="76">
        <f>'Ann 4'!J30</f>
        <v>490465.81819390319</v>
      </c>
      <c r="J13" s="76">
        <f>'Ann 4'!K30</f>
        <v>485305.76588077174</v>
      </c>
    </row>
    <row r="14" spans="1:10" x14ac:dyDescent="0.35">
      <c r="A14" s="75"/>
      <c r="B14" s="76">
        <f>B12-B13</f>
        <v>545831.1</v>
      </c>
      <c r="C14" s="76">
        <f t="shared" ref="C14:J14" si="3">C12-C13</f>
        <v>841832.7</v>
      </c>
      <c r="D14" s="76">
        <f t="shared" si="3"/>
        <v>879396.21</v>
      </c>
      <c r="E14" s="76">
        <f t="shared" si="3"/>
        <v>893715.50550000009</v>
      </c>
      <c r="F14" s="76">
        <f t="shared" si="3"/>
        <v>890845.07302500051</v>
      </c>
      <c r="G14" s="76">
        <f t="shared" si="3"/>
        <v>396970.47396375088</v>
      </c>
      <c r="H14" s="76">
        <f t="shared" si="3"/>
        <v>538381.07369381352</v>
      </c>
      <c r="I14" s="76">
        <f t="shared" si="3"/>
        <v>909020.21415184787</v>
      </c>
      <c r="J14" s="76">
        <f t="shared" si="3"/>
        <v>1253820.4393526576</v>
      </c>
    </row>
    <row r="15" spans="1:10" x14ac:dyDescent="0.35">
      <c r="A15" s="75" t="s">
        <v>148</v>
      </c>
      <c r="B15" s="76">
        <f>SUM('Ann 13'!D10:D13)*100000</f>
        <v>227999.99999999997</v>
      </c>
      <c r="C15" s="76">
        <f>SUM('Ann 13'!D14:D17)*100000</f>
        <v>455999.99999999994</v>
      </c>
      <c r="D15" s="76">
        <f>SUM('Ann 13'!D18:D21)*100000</f>
        <v>455999.99999999994</v>
      </c>
      <c r="E15" s="76">
        <f>SUM('Ann 13'!D22:D25)*100000</f>
        <v>455999.99999999994</v>
      </c>
      <c r="F15" s="76">
        <f>SUM('Ann 13'!D26:D29)*100000</f>
        <v>455999.99999999994</v>
      </c>
      <c r="G15" s="76">
        <f>SUM('Ann 13'!D30:D33)*100000</f>
        <v>257999.99999999997</v>
      </c>
      <c r="H15" s="76">
        <f>SUM('Ann 13'!D34:D37)*100000</f>
        <v>0</v>
      </c>
      <c r="I15" s="76">
        <v>0</v>
      </c>
      <c r="J15" s="76">
        <v>0</v>
      </c>
    </row>
    <row r="16" spans="1:10" x14ac:dyDescent="0.35">
      <c r="A16" s="75" t="s">
        <v>149</v>
      </c>
      <c r="B16" s="76">
        <f>B14-B15</f>
        <v>317831.09999999998</v>
      </c>
      <c r="C16" s="76">
        <f>C14-C15</f>
        <v>385832.7</v>
      </c>
      <c r="D16" s="76">
        <f>D14-D15</f>
        <v>423396.21</v>
      </c>
      <c r="E16" s="76">
        <f t="shared" ref="E16:J16" si="4">E14-E15</f>
        <v>437715.50550000014</v>
      </c>
      <c r="F16" s="76">
        <f t="shared" si="4"/>
        <v>434845.07302500057</v>
      </c>
      <c r="G16" s="76">
        <f t="shared" si="4"/>
        <v>138970.4739637509</v>
      </c>
      <c r="H16" s="76">
        <f t="shared" si="4"/>
        <v>538381.07369381352</v>
      </c>
      <c r="I16" s="76">
        <f t="shared" si="4"/>
        <v>909020.21415184787</v>
      </c>
      <c r="J16" s="76">
        <f t="shared" si="4"/>
        <v>1253820.4393526576</v>
      </c>
    </row>
    <row r="18" spans="1:11" x14ac:dyDescent="0.35">
      <c r="A18" s="80" t="s">
        <v>150</v>
      </c>
      <c r="B18" s="81">
        <v>0.06</v>
      </c>
      <c r="C18" s="80"/>
      <c r="D18" s="80"/>
      <c r="E18" s="80"/>
      <c r="F18" s="80"/>
      <c r="G18" s="80"/>
      <c r="H18" s="80"/>
      <c r="I18" s="80"/>
      <c r="J18" s="80"/>
      <c r="K18" s="80"/>
    </row>
    <row r="19" spans="1:11" x14ac:dyDescent="0.35">
      <c r="A19" s="80" t="s">
        <v>151</v>
      </c>
      <c r="B19" s="82">
        <f>1/(1+$B$18)</f>
        <v>0.94339622641509424</v>
      </c>
      <c r="C19" s="82">
        <f>1/((1+$B$18)*(1+$B$18))</f>
        <v>0.88999644001423983</v>
      </c>
      <c r="D19" s="82">
        <f>1/((1+$B$18)*(1+$B$18)*(1+$B$18))</f>
        <v>0.8396192830323016</v>
      </c>
      <c r="E19" s="82">
        <f>1/((1+$B$18)*(1+$B$18)*(1+$B$18)*(1+$B$18))</f>
        <v>0.79209366323802044</v>
      </c>
      <c r="F19" s="82">
        <f>1/((1+$B$18)*(1+$B$18)*(1+$B$18)*(1+$B$18)*(1+$B$18))</f>
        <v>0.74725817286605689</v>
      </c>
      <c r="G19" s="82">
        <f>1/((1+$B$18)*(1+$B$18)*(1+$B$18)*(1+$B$18)*(1+$B$18)*(1+$B$18))</f>
        <v>0.70496054043967626</v>
      </c>
      <c r="H19" s="82">
        <f>1/((1+$B$18)*(1+$B$18)*(1+$B$18)*(1+$B$18)*(1+$B$18)*(1+$B$18)*(1+$B$18))</f>
        <v>0.6650571136223361</v>
      </c>
      <c r="I19" s="82">
        <f>1/((1+$B$18)*(1+$B$18)*(1+$B$18)*(1+$B$18)*(1+$B$18)*(1+$B$18)*(1+$B$18)*(1+$B$18))</f>
        <v>0.62741237134182648</v>
      </c>
      <c r="J19" s="82">
        <f>1/((1+$B$18)*(1+$B$18)*(1+$B$18)*(1+$B$18)*(1+$B$18)*(1+$B$18)*(1+$B$18)*(1+$B$18)*(1+$B$18))</f>
        <v>0.59189846353002495</v>
      </c>
      <c r="K19" s="80"/>
    </row>
    <row r="20" spans="1:11" x14ac:dyDescent="0.35">
      <c r="A20" s="80" t="s">
        <v>152</v>
      </c>
      <c r="B20" s="80">
        <f>B4+B5+B7</f>
        <v>1296000</v>
      </c>
      <c r="C20" s="80">
        <f t="shared" ref="C20:J20" si="5">C4+C5+C7</f>
        <v>1832531.1</v>
      </c>
      <c r="D20" s="80">
        <f t="shared" si="5"/>
        <v>1989632.7000000002</v>
      </c>
      <c r="E20" s="80">
        <f t="shared" si="5"/>
        <v>2116296.2100000004</v>
      </c>
      <c r="F20" s="80">
        <f t="shared" si="5"/>
        <v>2219715.5055000004</v>
      </c>
      <c r="G20" s="80">
        <f t="shared" si="5"/>
        <v>2216845.0730250007</v>
      </c>
      <c r="H20" s="80">
        <f t="shared" si="5"/>
        <v>1920970.4739637512</v>
      </c>
      <c r="I20" s="80">
        <f t="shared" si="5"/>
        <v>2320381.0736938138</v>
      </c>
      <c r="J20" s="80">
        <f t="shared" si="5"/>
        <v>2691020.2141518481</v>
      </c>
      <c r="K20" s="80"/>
    </row>
    <row r="21" spans="1:11" x14ac:dyDescent="0.35">
      <c r="A21" s="80" t="s">
        <v>153</v>
      </c>
      <c r="B21" s="80">
        <f>B20*B19</f>
        <v>1222641.5094339622</v>
      </c>
      <c r="C21" s="80">
        <f t="shared" ref="C21:J21" si="6">C20*C19</f>
        <v>1630946.1552153791</v>
      </c>
      <c r="D21" s="80">
        <f t="shared" si="6"/>
        <v>1670533.9810716226</v>
      </c>
      <c r="E21" s="80">
        <f t="shared" si="6"/>
        <v>1676304.8174756393</v>
      </c>
      <c r="F21" s="80">
        <f t="shared" si="6"/>
        <v>1658700.5529223862</v>
      </c>
      <c r="G21" s="80">
        <f t="shared" si="6"/>
        <v>1562788.300750738</v>
      </c>
      <c r="H21" s="80">
        <f t="shared" si="6"/>
        <v>1277555.0787680633</v>
      </c>
      <c r="I21" s="80">
        <f t="shared" si="6"/>
        <v>1455835.791862929</v>
      </c>
      <c r="J21" s="80">
        <f t="shared" si="6"/>
        <v>1592810.7300847175</v>
      </c>
      <c r="K21" s="80"/>
    </row>
    <row r="22" spans="1:11" x14ac:dyDescent="0.35">
      <c r="A22" s="80" t="s">
        <v>154</v>
      </c>
      <c r="B22" s="80">
        <f>B6+B8+B9+B11+B13+B15</f>
        <v>978168.9</v>
      </c>
      <c r="C22" s="80">
        <f t="shared" ref="C22:J22" si="7">C6+C8+C9+C11+C13+C15</f>
        <v>1446698.4000000001</v>
      </c>
      <c r="D22" s="80">
        <f t="shared" si="7"/>
        <v>1566236.4900000002</v>
      </c>
      <c r="E22" s="80">
        <f t="shared" si="7"/>
        <v>1678580.7045</v>
      </c>
      <c r="F22" s="80">
        <f t="shared" si="7"/>
        <v>1784870.4324749999</v>
      </c>
      <c r="G22" s="80">
        <f t="shared" si="7"/>
        <v>2077874.5990612502</v>
      </c>
      <c r="H22" s="80">
        <f t="shared" si="7"/>
        <v>1382589.4002699375</v>
      </c>
      <c r="I22" s="80">
        <f t="shared" si="7"/>
        <v>1411360.8595419656</v>
      </c>
      <c r="J22" s="80">
        <f t="shared" si="7"/>
        <v>1437199.7747991907</v>
      </c>
      <c r="K22" s="80"/>
    </row>
    <row r="23" spans="1:11" x14ac:dyDescent="0.35">
      <c r="A23" s="80" t="s">
        <v>155</v>
      </c>
      <c r="B23" s="80">
        <f>B22*B19</f>
        <v>922800.84905660374</v>
      </c>
      <c r="C23" s="80">
        <f t="shared" ref="C23:J23" si="8">C22*C19</f>
        <v>1287556.425774297</v>
      </c>
      <c r="D23" s="80">
        <f t="shared" si="8"/>
        <v>1315042.3587928289</v>
      </c>
      <c r="E23" s="80">
        <f t="shared" si="8"/>
        <v>1329593.1392680621</v>
      </c>
      <c r="F23" s="80">
        <f t="shared" si="8"/>
        <v>1333759.0181739172</v>
      </c>
      <c r="G23" s="80">
        <f t="shared" si="8"/>
        <v>1464819.6003200945</v>
      </c>
      <c r="H23" s="80">
        <f t="shared" si="8"/>
        <v>919500.91586836136</v>
      </c>
      <c r="I23" s="80">
        <f t="shared" si="8"/>
        <v>885505.26370426314</v>
      </c>
      <c r="J23" s="80">
        <f t="shared" si="8"/>
        <v>850676.33848933887</v>
      </c>
      <c r="K23" s="80"/>
    </row>
    <row r="24" spans="1:11" x14ac:dyDescent="0.35">
      <c r="A24" s="80"/>
      <c r="B24" s="80"/>
      <c r="C24" s="80"/>
      <c r="D24" s="80"/>
      <c r="E24" s="80"/>
      <c r="F24" s="80"/>
      <c r="G24" s="80"/>
      <c r="H24" s="80"/>
      <c r="I24" s="80"/>
      <c r="J24" s="80"/>
      <c r="K24" s="80"/>
    </row>
    <row r="25" spans="1:11" x14ac:dyDescent="0.35">
      <c r="A25" s="80" t="s">
        <v>156</v>
      </c>
      <c r="B25" s="80">
        <f>B20-B22</f>
        <v>317831.09999999998</v>
      </c>
      <c r="C25" s="80">
        <f t="shared" ref="C25:J25" si="9">C20-C22</f>
        <v>385832.69999999995</v>
      </c>
      <c r="D25" s="80">
        <f t="shared" si="9"/>
        <v>423396.20999999996</v>
      </c>
      <c r="E25" s="80">
        <f t="shared" si="9"/>
        <v>437715.50550000044</v>
      </c>
      <c r="F25" s="80">
        <f t="shared" si="9"/>
        <v>434845.07302500051</v>
      </c>
      <c r="G25" s="80">
        <f t="shared" si="9"/>
        <v>138970.47396375053</v>
      </c>
      <c r="H25" s="80">
        <f t="shared" si="9"/>
        <v>538381.07369381376</v>
      </c>
      <c r="I25" s="80">
        <f t="shared" si="9"/>
        <v>909020.21415184811</v>
      </c>
      <c r="J25" s="80">
        <f t="shared" si="9"/>
        <v>1253820.4393526574</v>
      </c>
      <c r="K25" s="80"/>
    </row>
    <row r="26" spans="1:11" x14ac:dyDescent="0.35">
      <c r="A26" s="80" t="s">
        <v>157</v>
      </c>
      <c r="B26" s="80">
        <f>B21-B23</f>
        <v>299840.66037735844</v>
      </c>
      <c r="C26" s="80">
        <f t="shared" ref="C26:J26" si="10">C21-C23</f>
        <v>343389.72944108211</v>
      </c>
      <c r="D26" s="80">
        <f t="shared" si="10"/>
        <v>355491.62227879371</v>
      </c>
      <c r="E26" s="80">
        <f t="shared" si="10"/>
        <v>346711.67820757721</v>
      </c>
      <c r="F26" s="80">
        <f t="shared" si="10"/>
        <v>324941.53474846901</v>
      </c>
      <c r="G26" s="80">
        <f t="shared" si="10"/>
        <v>97968.700430643512</v>
      </c>
      <c r="H26" s="80">
        <f t="shared" si="10"/>
        <v>358054.16289970197</v>
      </c>
      <c r="I26" s="80">
        <f t="shared" si="10"/>
        <v>570330.52815866587</v>
      </c>
      <c r="J26" s="80">
        <f t="shared" si="10"/>
        <v>742134.39159537863</v>
      </c>
      <c r="K26" s="80">
        <f>SUM(B26:J26)</f>
        <v>3438863.0081376703</v>
      </c>
    </row>
    <row r="27" spans="1:11" x14ac:dyDescent="0.35">
      <c r="A27" s="83"/>
      <c r="B27" s="83"/>
      <c r="C27" s="83"/>
      <c r="D27" s="83"/>
      <c r="E27" s="83"/>
      <c r="F27" s="84"/>
      <c r="G27" s="83"/>
      <c r="H27" s="83"/>
      <c r="I27" s="83"/>
      <c r="J27" s="83"/>
      <c r="K27" s="83"/>
    </row>
  </sheetData>
  <pageMargins left="0.7" right="0.7" top="0.75" bottom="0.75" header="0.3" footer="0.3"/>
  <pageSetup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M16"/>
  <sheetViews>
    <sheetView workbookViewId="0">
      <selection activeCell="E21" sqref="E21"/>
    </sheetView>
  </sheetViews>
  <sheetFormatPr defaultRowHeight="14.5" x14ac:dyDescent="0.35"/>
  <cols>
    <col min="1" max="1" width="39.7265625" bestFit="1" customWidth="1"/>
    <col min="2" max="10" width="12.08984375" bestFit="1" customWidth="1"/>
  </cols>
  <sheetData>
    <row r="1" spans="1:13" x14ac:dyDescent="0.35">
      <c r="A1" s="15" t="s">
        <v>205</v>
      </c>
    </row>
    <row r="3" spans="1:13" x14ac:dyDescent="0.35">
      <c r="A3" s="22" t="s">
        <v>206</v>
      </c>
      <c r="B3" s="22" t="s">
        <v>207</v>
      </c>
      <c r="C3" s="22" t="s">
        <v>208</v>
      </c>
      <c r="D3" s="22" t="s">
        <v>209</v>
      </c>
      <c r="E3" s="22" t="s">
        <v>210</v>
      </c>
      <c r="F3" s="22" t="s">
        <v>211</v>
      </c>
      <c r="G3" s="22" t="s">
        <v>212</v>
      </c>
      <c r="H3" s="22" t="s">
        <v>213</v>
      </c>
      <c r="I3" s="22" t="s">
        <v>214</v>
      </c>
      <c r="J3" s="22" t="s">
        <v>215</v>
      </c>
      <c r="K3" s="22" t="s">
        <v>216</v>
      </c>
      <c r="L3" s="22" t="s">
        <v>217</v>
      </c>
      <c r="M3" s="22" t="s">
        <v>218</v>
      </c>
    </row>
    <row r="4" spans="1:13" x14ac:dyDescent="0.35">
      <c r="A4" s="9" t="s">
        <v>219</v>
      </c>
      <c r="B4" s="55">
        <v>5000</v>
      </c>
      <c r="C4" s="55">
        <v>5000</v>
      </c>
      <c r="D4" s="55">
        <v>5000</v>
      </c>
      <c r="E4" s="55">
        <v>5000</v>
      </c>
      <c r="F4" s="55">
        <v>5000</v>
      </c>
      <c r="G4" s="55">
        <v>5000</v>
      </c>
      <c r="H4" s="55">
        <v>5000</v>
      </c>
      <c r="I4" s="55">
        <v>5000</v>
      </c>
      <c r="J4" s="55">
        <v>5000</v>
      </c>
      <c r="K4" s="55">
        <v>5000</v>
      </c>
      <c r="L4" s="55">
        <v>5000</v>
      </c>
      <c r="M4" s="55">
        <v>5000</v>
      </c>
    </row>
    <row r="5" spans="1:13" x14ac:dyDescent="0.35">
      <c r="A5" s="9" t="s">
        <v>220</v>
      </c>
      <c r="B5" s="71" t="s">
        <v>227</v>
      </c>
      <c r="C5" s="71" t="s">
        <v>227</v>
      </c>
      <c r="D5" s="71" t="s">
        <v>227</v>
      </c>
      <c r="E5" s="71" t="s">
        <v>227</v>
      </c>
      <c r="F5" s="71" t="s">
        <v>227</v>
      </c>
      <c r="G5" s="71" t="s">
        <v>227</v>
      </c>
      <c r="H5" s="71" t="s">
        <v>227</v>
      </c>
      <c r="I5" s="71" t="s">
        <v>227</v>
      </c>
      <c r="J5" s="71" t="s">
        <v>227</v>
      </c>
      <c r="K5" s="71" t="s">
        <v>227</v>
      </c>
      <c r="L5" s="71" t="s">
        <v>227</v>
      </c>
      <c r="M5" s="71" t="s">
        <v>227</v>
      </c>
    </row>
    <row r="6" spans="1:13" x14ac:dyDescent="0.35">
      <c r="A6" s="9" t="s">
        <v>221</v>
      </c>
      <c r="B6" s="49">
        <f>30/B5</f>
        <v>3</v>
      </c>
      <c r="C6" s="49">
        <f t="shared" ref="C6:M6" si="0">30/C5</f>
        <v>3</v>
      </c>
      <c r="D6" s="49">
        <f t="shared" si="0"/>
        <v>3</v>
      </c>
      <c r="E6" s="49">
        <f t="shared" si="0"/>
        <v>3</v>
      </c>
      <c r="F6" s="49">
        <f t="shared" si="0"/>
        <v>3</v>
      </c>
      <c r="G6" s="49">
        <f t="shared" si="0"/>
        <v>3</v>
      </c>
      <c r="H6" s="49">
        <f t="shared" si="0"/>
        <v>3</v>
      </c>
      <c r="I6" s="49">
        <f t="shared" si="0"/>
        <v>3</v>
      </c>
      <c r="J6" s="49">
        <f t="shared" si="0"/>
        <v>3</v>
      </c>
      <c r="K6" s="49">
        <f t="shared" si="0"/>
        <v>3</v>
      </c>
      <c r="L6" s="49">
        <f t="shared" si="0"/>
        <v>3</v>
      </c>
      <c r="M6" s="49">
        <f t="shared" si="0"/>
        <v>3</v>
      </c>
    </row>
    <row r="7" spans="1:13" x14ac:dyDescent="0.35">
      <c r="A7" s="9" t="s">
        <v>222</v>
      </c>
      <c r="B7" s="9">
        <f>B6*B4</f>
        <v>15000</v>
      </c>
      <c r="C7" s="9">
        <f t="shared" ref="C7:M7" si="1">C6*C4</f>
        <v>15000</v>
      </c>
      <c r="D7" s="9">
        <f t="shared" si="1"/>
        <v>15000</v>
      </c>
      <c r="E7" s="9">
        <f t="shared" si="1"/>
        <v>15000</v>
      </c>
      <c r="F7" s="9">
        <f t="shared" si="1"/>
        <v>15000</v>
      </c>
      <c r="G7" s="9">
        <f t="shared" si="1"/>
        <v>15000</v>
      </c>
      <c r="H7" s="9">
        <f t="shared" si="1"/>
        <v>15000</v>
      </c>
      <c r="I7" s="9">
        <f t="shared" si="1"/>
        <v>15000</v>
      </c>
      <c r="J7" s="9">
        <f t="shared" si="1"/>
        <v>15000</v>
      </c>
      <c r="K7" s="9">
        <f t="shared" si="1"/>
        <v>15000</v>
      </c>
      <c r="L7" s="9">
        <f t="shared" si="1"/>
        <v>15000</v>
      </c>
      <c r="M7" s="9">
        <f t="shared" si="1"/>
        <v>15000</v>
      </c>
    </row>
    <row r="9" spans="1:13" x14ac:dyDescent="0.35">
      <c r="A9" t="s">
        <v>236</v>
      </c>
      <c r="B9">
        <f>SUM(B7:M7)*3</f>
        <v>540000</v>
      </c>
    </row>
    <row r="10" spans="1:13" x14ac:dyDescent="0.35">
      <c r="A10" t="s">
        <v>237</v>
      </c>
      <c r="B10">
        <v>3</v>
      </c>
    </row>
    <row r="12" spans="1:13" x14ac:dyDescent="0.35">
      <c r="A12" s="96" t="s">
        <v>223</v>
      </c>
      <c r="B12" s="91" t="s">
        <v>228</v>
      </c>
      <c r="C12" s="91"/>
      <c r="D12" s="91"/>
      <c r="E12" s="91"/>
      <c r="F12" s="91"/>
      <c r="G12" s="91"/>
      <c r="H12" s="91"/>
      <c r="I12" s="91"/>
      <c r="J12" s="91"/>
    </row>
    <row r="13" spans="1:13" x14ac:dyDescent="0.35">
      <c r="A13" s="96"/>
      <c r="B13" s="22" t="s">
        <v>19</v>
      </c>
      <c r="C13" s="22" t="s">
        <v>20</v>
      </c>
      <c r="D13" s="22" t="s">
        <v>21</v>
      </c>
      <c r="E13" s="22" t="s">
        <v>22</v>
      </c>
      <c r="F13" s="22" t="s">
        <v>23</v>
      </c>
      <c r="G13" s="22" t="s">
        <v>24</v>
      </c>
      <c r="H13" s="22" t="s">
        <v>25</v>
      </c>
      <c r="I13" s="22" t="s">
        <v>26</v>
      </c>
      <c r="J13" s="22" t="s">
        <v>27</v>
      </c>
    </row>
    <row r="14" spans="1:13" x14ac:dyDescent="0.35">
      <c r="A14" s="9" t="s">
        <v>224</v>
      </c>
      <c r="B14" s="70">
        <v>0.8</v>
      </c>
      <c r="C14" s="70">
        <v>0.85</v>
      </c>
      <c r="D14" s="70">
        <v>0.9</v>
      </c>
      <c r="E14" s="70">
        <v>0.95</v>
      </c>
      <c r="F14" s="70">
        <v>1</v>
      </c>
      <c r="G14" s="70">
        <v>1</v>
      </c>
      <c r="H14" s="70">
        <v>1</v>
      </c>
      <c r="I14" s="70">
        <v>1</v>
      </c>
      <c r="J14" s="70">
        <v>1</v>
      </c>
    </row>
    <row r="15" spans="1:13" x14ac:dyDescent="0.35">
      <c r="A15" s="9" t="s">
        <v>225</v>
      </c>
      <c r="B15" s="9">
        <f>$B$9*B14</f>
        <v>432000</v>
      </c>
      <c r="C15" s="9">
        <f t="shared" ref="C15:J15" si="2">$B$9*C14</f>
        <v>459000</v>
      </c>
      <c r="D15" s="9">
        <f t="shared" si="2"/>
        <v>486000</v>
      </c>
      <c r="E15" s="9">
        <f t="shared" si="2"/>
        <v>513000</v>
      </c>
      <c r="F15" s="9">
        <f t="shared" si="2"/>
        <v>540000</v>
      </c>
      <c r="G15" s="9">
        <f t="shared" si="2"/>
        <v>540000</v>
      </c>
      <c r="H15" s="9">
        <f t="shared" si="2"/>
        <v>540000</v>
      </c>
      <c r="I15" s="9">
        <f t="shared" si="2"/>
        <v>540000</v>
      </c>
      <c r="J15" s="9">
        <f t="shared" si="2"/>
        <v>540000</v>
      </c>
    </row>
    <row r="16" spans="1:13" x14ac:dyDescent="0.35">
      <c r="A16" s="9" t="s">
        <v>226</v>
      </c>
      <c r="B16" s="19">
        <f>B15*$B$10</f>
        <v>1296000</v>
      </c>
      <c r="C16" s="19">
        <f>C15*$B$10*1.1</f>
        <v>1514700.0000000002</v>
      </c>
      <c r="D16" s="19">
        <f t="shared" ref="D16:J16" si="3">D15*$B$10*1.1</f>
        <v>1603800.0000000002</v>
      </c>
      <c r="E16" s="19">
        <f t="shared" si="3"/>
        <v>1692900.0000000002</v>
      </c>
      <c r="F16" s="19">
        <f t="shared" si="3"/>
        <v>1782000.0000000002</v>
      </c>
      <c r="G16" s="19">
        <f t="shared" si="3"/>
        <v>1782000.0000000002</v>
      </c>
      <c r="H16" s="19">
        <f t="shared" si="3"/>
        <v>1782000.0000000002</v>
      </c>
      <c r="I16" s="19">
        <f t="shared" si="3"/>
        <v>1782000.0000000002</v>
      </c>
      <c r="J16" s="19">
        <f t="shared" si="3"/>
        <v>1782000.0000000002</v>
      </c>
    </row>
  </sheetData>
  <mergeCells count="2">
    <mergeCell ref="B12:J12"/>
    <mergeCell ref="A12:A13"/>
  </mergeCells>
  <pageMargins left="0.7" right="0.7" top="0.75" bottom="0.75" header="0.3" footer="0.3"/>
  <pageSetup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A9C1C-C8D9-49A9-8CFC-C6AD6C87E98A}">
  <sheetPr>
    <pageSetUpPr fitToPage="1"/>
  </sheetPr>
  <dimension ref="A1:B5"/>
  <sheetViews>
    <sheetView workbookViewId="0">
      <selection activeCell="B23" sqref="B23"/>
    </sheetView>
  </sheetViews>
  <sheetFormatPr defaultRowHeight="14.5" x14ac:dyDescent="0.35"/>
  <cols>
    <col min="2" max="2" width="84" bestFit="1" customWidth="1"/>
    <col min="3" max="3" width="12.36328125" bestFit="1" customWidth="1"/>
    <col min="4" max="4" width="6.81640625" bestFit="1" customWidth="1"/>
    <col min="5" max="8" width="7.81640625" bestFit="1" customWidth="1"/>
    <col min="9" max="9" width="10.81640625" bestFit="1" customWidth="1"/>
    <col min="10" max="12" width="11.81640625" bestFit="1" customWidth="1"/>
  </cols>
  <sheetData>
    <row r="1" spans="1:2" x14ac:dyDescent="0.35">
      <c r="A1" s="72" t="s">
        <v>262</v>
      </c>
      <c r="B1" s="72" t="s">
        <v>263</v>
      </c>
    </row>
    <row r="2" spans="1:2" x14ac:dyDescent="0.35">
      <c r="A2" s="79">
        <v>1</v>
      </c>
      <c r="B2" s="79" t="s">
        <v>240</v>
      </c>
    </row>
    <row r="3" spans="1:2" ht="29" x14ac:dyDescent="0.35">
      <c r="A3" s="79">
        <v>2</v>
      </c>
      <c r="B3" s="79" t="s">
        <v>234</v>
      </c>
    </row>
    <row r="4" spans="1:2" x14ac:dyDescent="0.35">
      <c r="A4" s="79">
        <v>3</v>
      </c>
      <c r="B4" s="79" t="s">
        <v>264</v>
      </c>
    </row>
    <row r="5" spans="1:2" x14ac:dyDescent="0.35">
      <c r="A5" s="79">
        <v>4</v>
      </c>
      <c r="B5" s="79" t="s">
        <v>265</v>
      </c>
    </row>
  </sheetData>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117</v>
      </c>
    </row>
    <row r="2" spans="1:11" x14ac:dyDescent="0.35">
      <c r="C2" t="s">
        <v>19</v>
      </c>
      <c r="D2" t="s">
        <v>20</v>
      </c>
      <c r="E2" t="s">
        <v>21</v>
      </c>
      <c r="F2" t="s">
        <v>22</v>
      </c>
      <c r="G2" t="s">
        <v>23</v>
      </c>
      <c r="H2" t="s">
        <v>24</v>
      </c>
      <c r="I2" t="s">
        <v>25</v>
      </c>
      <c r="J2" t="s">
        <v>26</v>
      </c>
      <c r="K2" t="s">
        <v>27</v>
      </c>
    </row>
    <row r="3" spans="1:11" x14ac:dyDescent="0.35">
      <c r="A3" t="s">
        <v>118</v>
      </c>
      <c r="C3">
        <f>'Ann 4'!C17/300*270</f>
        <v>1166400</v>
      </c>
      <c r="D3">
        <f>'Ann 4'!D17/300*270</f>
        <v>1363230.0000000002</v>
      </c>
      <c r="E3">
        <f>'Ann 4'!E17/300*270</f>
        <v>1443420.0000000002</v>
      </c>
      <c r="F3">
        <f>'Ann 4'!F17/300*270</f>
        <v>1523610.0000000002</v>
      </c>
      <c r="G3">
        <f>'Ann 4'!G17/300*270</f>
        <v>1603800.0000000002</v>
      </c>
      <c r="H3">
        <f>'Ann 4'!H17/300*270</f>
        <v>1603800.0000000002</v>
      </c>
      <c r="I3">
        <f>'Ann 4'!I17/300*270</f>
        <v>1603800.0000000002</v>
      </c>
      <c r="J3">
        <f>'Ann 4'!J17/300*270</f>
        <v>1603800.0000000002</v>
      </c>
      <c r="K3">
        <f>'Ann 4'!K17/300*270</f>
        <v>1603800.0000000002</v>
      </c>
    </row>
    <row r="4" spans="1:11" x14ac:dyDescent="0.35">
      <c r="A4" t="s">
        <v>119</v>
      </c>
      <c r="C4">
        <v>5000000</v>
      </c>
    </row>
    <row r="5" spans="1:11" x14ac:dyDescent="0.35">
      <c r="A5" t="s">
        <v>120</v>
      </c>
      <c r="C5">
        <v>21492978</v>
      </c>
    </row>
    <row r="7" spans="1:11" x14ac:dyDescent="0.35">
      <c r="A7" t="s">
        <v>121</v>
      </c>
      <c r="C7" t="e">
        <f>#REF!</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C27"/>
  <sheetViews>
    <sheetView workbookViewId="0">
      <selection activeCell="C24" sqref="C24"/>
    </sheetView>
  </sheetViews>
  <sheetFormatPr defaultRowHeight="14.5" x14ac:dyDescent="0.35"/>
  <cols>
    <col min="1" max="1" width="13.7265625" style="60" customWidth="1"/>
    <col min="2" max="2" width="44.90625" style="60" customWidth="1"/>
    <col min="3" max="3" width="13.26953125" style="60" customWidth="1"/>
    <col min="4" max="16384" width="8.7265625" style="60"/>
  </cols>
  <sheetData>
    <row r="1" spans="1:3" x14ac:dyDescent="0.35">
      <c r="A1" s="15" t="s">
        <v>0</v>
      </c>
    </row>
    <row r="3" spans="1:3" x14ac:dyDescent="0.35">
      <c r="A3" s="64" t="s">
        <v>1</v>
      </c>
      <c r="B3" s="61"/>
      <c r="C3" s="61"/>
    </row>
    <row r="4" spans="1:3" ht="29" x14ac:dyDescent="0.35">
      <c r="A4" s="61" t="s">
        <v>2</v>
      </c>
      <c r="B4" s="61" t="s">
        <v>3</v>
      </c>
      <c r="C4" s="62" t="s">
        <v>4</v>
      </c>
    </row>
    <row r="5" spans="1:3" ht="29" x14ac:dyDescent="0.35">
      <c r="A5" s="87" t="s">
        <v>168</v>
      </c>
      <c r="B5" s="65" t="s">
        <v>169</v>
      </c>
      <c r="C5" s="65" t="s">
        <v>170</v>
      </c>
    </row>
    <row r="6" spans="1:3" ht="72.5" x14ac:dyDescent="0.35">
      <c r="A6" s="87"/>
      <c r="B6" s="65" t="s">
        <v>171</v>
      </c>
      <c r="C6" s="65" t="s">
        <v>172</v>
      </c>
    </row>
    <row r="7" spans="1:3" ht="43.5" x14ac:dyDescent="0.35">
      <c r="A7" s="87"/>
      <c r="B7" s="65" t="s">
        <v>173</v>
      </c>
      <c r="C7" s="65" t="s">
        <v>174</v>
      </c>
    </row>
    <row r="8" spans="1:3" ht="29" x14ac:dyDescent="0.35">
      <c r="A8" s="87"/>
      <c r="B8" s="88" t="s">
        <v>175</v>
      </c>
      <c r="C8" s="65" t="s">
        <v>176</v>
      </c>
    </row>
    <row r="9" spans="1:3" ht="29" x14ac:dyDescent="0.35">
      <c r="A9" s="87"/>
      <c r="B9" s="88"/>
      <c r="C9" s="65" t="s">
        <v>177</v>
      </c>
    </row>
    <row r="10" spans="1:3" ht="29" x14ac:dyDescent="0.35">
      <c r="A10" s="87"/>
      <c r="B10" s="88"/>
      <c r="C10" s="65" t="s">
        <v>178</v>
      </c>
    </row>
    <row r="11" spans="1:3" ht="72.5" x14ac:dyDescent="0.35">
      <c r="A11" s="87"/>
      <c r="B11" s="65" t="s">
        <v>179</v>
      </c>
      <c r="C11" s="65" t="s">
        <v>180</v>
      </c>
    </row>
    <row r="12" spans="1:3" ht="87" x14ac:dyDescent="0.35">
      <c r="A12" s="89" t="s">
        <v>181</v>
      </c>
      <c r="B12" s="65" t="s">
        <v>182</v>
      </c>
      <c r="C12" s="65" t="s">
        <v>183</v>
      </c>
    </row>
    <row r="13" spans="1:3" ht="58" x14ac:dyDescent="0.35">
      <c r="A13" s="89"/>
      <c r="B13" s="65" t="s">
        <v>184</v>
      </c>
      <c r="C13" s="65" t="s">
        <v>185</v>
      </c>
    </row>
    <row r="14" spans="1:3" ht="58" x14ac:dyDescent="0.35">
      <c r="A14" s="89"/>
      <c r="B14" s="65" t="s">
        <v>186</v>
      </c>
      <c r="C14" s="65" t="s">
        <v>187</v>
      </c>
    </row>
    <row r="15" spans="1:3" ht="43.5" x14ac:dyDescent="0.35">
      <c r="A15" s="89"/>
      <c r="B15" s="65" t="s">
        <v>188</v>
      </c>
      <c r="C15" s="65" t="s">
        <v>189</v>
      </c>
    </row>
    <row r="16" spans="1:3" ht="43.5" x14ac:dyDescent="0.35">
      <c r="A16" s="89"/>
      <c r="B16" s="66" t="s">
        <v>190</v>
      </c>
      <c r="C16" s="66" t="s">
        <v>191</v>
      </c>
    </row>
    <row r="17" spans="1:3" ht="72.5" x14ac:dyDescent="0.35">
      <c r="A17" s="89"/>
      <c r="B17" s="65" t="s">
        <v>192</v>
      </c>
      <c r="C17" s="65" t="s">
        <v>193</v>
      </c>
    </row>
    <row r="18" spans="1:3" ht="87" x14ac:dyDescent="0.35">
      <c r="A18" s="89"/>
      <c r="B18" s="65" t="s">
        <v>194</v>
      </c>
      <c r="C18" s="65" t="s">
        <v>195</v>
      </c>
    </row>
    <row r="19" spans="1:3" x14ac:dyDescent="0.35">
      <c r="A19" s="89" t="s">
        <v>196</v>
      </c>
      <c r="B19" s="65" t="s">
        <v>197</v>
      </c>
      <c r="C19" s="65" t="s">
        <v>198</v>
      </c>
    </row>
    <row r="20" spans="1:3" x14ac:dyDescent="0.35">
      <c r="A20" s="89"/>
      <c r="B20" s="65" t="s">
        <v>199</v>
      </c>
      <c r="C20" s="65" t="s">
        <v>200</v>
      </c>
    </row>
    <row r="21" spans="1:3" ht="29" x14ac:dyDescent="0.35">
      <c r="A21" s="89"/>
      <c r="B21" s="65" t="s">
        <v>201</v>
      </c>
      <c r="C21" s="65" t="s">
        <v>202</v>
      </c>
    </row>
    <row r="22" spans="1:3" x14ac:dyDescent="0.35">
      <c r="A22" s="63"/>
    </row>
    <row r="23" spans="1:3" x14ac:dyDescent="0.35">
      <c r="A23" s="67"/>
      <c r="B23" s="68" t="s">
        <v>203</v>
      </c>
      <c r="C23" s="69" t="s">
        <v>15</v>
      </c>
    </row>
    <row r="24" spans="1:3" x14ac:dyDescent="0.35">
      <c r="A24" s="67"/>
      <c r="B24" s="69" t="s">
        <v>229</v>
      </c>
      <c r="C24" s="19">
        <f>1100000*3</f>
        <v>3300000</v>
      </c>
    </row>
    <row r="25" spans="1:3" x14ac:dyDescent="0.35">
      <c r="A25" s="19"/>
      <c r="B25" s="69" t="s">
        <v>239</v>
      </c>
      <c r="C25" s="19">
        <f>C24*0.2%</f>
        <v>6600</v>
      </c>
    </row>
    <row r="26" spans="1:3" x14ac:dyDescent="0.35">
      <c r="A26" s="19"/>
      <c r="B26" s="69" t="s">
        <v>233</v>
      </c>
      <c r="C26" s="19">
        <f>C24*1%</f>
        <v>33000</v>
      </c>
    </row>
    <row r="27" spans="1:3" x14ac:dyDescent="0.35">
      <c r="A27" s="19"/>
      <c r="B27" s="69" t="s">
        <v>204</v>
      </c>
      <c r="C27" s="19">
        <f>SUM(C24:C26)</f>
        <v>3339600</v>
      </c>
    </row>
  </sheetData>
  <mergeCells count="4">
    <mergeCell ref="A5:A11"/>
    <mergeCell ref="B8:B10"/>
    <mergeCell ref="A12:A18"/>
    <mergeCell ref="A19:A21"/>
  </mergeCells>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D5" sqref="D5"/>
    </sheetView>
  </sheetViews>
  <sheetFormatPr defaultRowHeight="14.5" x14ac:dyDescent="0.35"/>
  <cols>
    <col min="2" max="2" width="22.08984375" customWidth="1"/>
    <col min="3" max="3" width="18.81640625" bestFit="1" customWidth="1"/>
  </cols>
  <sheetData>
    <row r="1" spans="1:4" x14ac:dyDescent="0.35">
      <c r="A1" s="15" t="s">
        <v>8</v>
      </c>
    </row>
    <row r="3" spans="1:4" x14ac:dyDescent="0.35">
      <c r="A3" s="23" t="s">
        <v>9</v>
      </c>
      <c r="B3" s="20" t="s">
        <v>10</v>
      </c>
      <c r="C3" s="21" t="s">
        <v>4</v>
      </c>
    </row>
    <row r="4" spans="1:4" x14ac:dyDescent="0.35">
      <c r="A4" s="11">
        <v>1</v>
      </c>
      <c r="B4" s="5" t="s">
        <v>11</v>
      </c>
      <c r="C4" s="17">
        <v>3.3</v>
      </c>
      <c r="D4" s="28"/>
    </row>
    <row r="5" spans="1:4" x14ac:dyDescent="0.35">
      <c r="A5" s="11">
        <v>2</v>
      </c>
      <c r="B5" s="5" t="s">
        <v>12</v>
      </c>
      <c r="C5" s="17">
        <v>0</v>
      </c>
      <c r="D5" s="2"/>
    </row>
    <row r="6" spans="1:4" x14ac:dyDescent="0.35">
      <c r="A6" s="11">
        <v>3</v>
      </c>
      <c r="B6" s="5" t="s">
        <v>13</v>
      </c>
      <c r="C6" s="50">
        <f>C8-C4</f>
        <v>29.7</v>
      </c>
      <c r="D6" s="28"/>
    </row>
    <row r="7" spans="1:4" x14ac:dyDescent="0.35">
      <c r="A7" s="11">
        <v>4</v>
      </c>
      <c r="B7" s="5" t="s">
        <v>14</v>
      </c>
      <c r="C7" s="50">
        <v>0</v>
      </c>
    </row>
    <row r="8" spans="1:4" x14ac:dyDescent="0.35">
      <c r="A8" s="10"/>
      <c r="B8" s="4" t="s">
        <v>5</v>
      </c>
      <c r="C8" s="24">
        <f>'Ann 1'!C24/100000</f>
        <v>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34"/>
  <sheetViews>
    <sheetView topLeftCell="C14" workbookViewId="0">
      <selection activeCell="K27" sqref="K27"/>
    </sheetView>
  </sheetViews>
  <sheetFormatPr defaultRowHeight="14.5" x14ac:dyDescent="0.35"/>
  <cols>
    <col min="2" max="2" width="55.7265625" bestFit="1" customWidth="1"/>
    <col min="3" max="11" width="15.6328125" bestFit="1" customWidth="1"/>
  </cols>
  <sheetData>
    <row r="1" spans="1:11" x14ac:dyDescent="0.35">
      <c r="A1" s="15" t="s">
        <v>16</v>
      </c>
    </row>
    <row r="3" spans="1:11" x14ac:dyDescent="0.35">
      <c r="A3" s="25" t="s">
        <v>17</v>
      </c>
      <c r="B3" s="25" t="s">
        <v>18</v>
      </c>
      <c r="C3" s="90" t="s">
        <v>28</v>
      </c>
      <c r="D3" s="90"/>
      <c r="E3" s="90"/>
      <c r="F3" s="90"/>
      <c r="G3" s="90"/>
      <c r="H3" s="90"/>
      <c r="I3" s="90"/>
      <c r="J3" s="90"/>
      <c r="K3" s="90"/>
    </row>
    <row r="4" spans="1:11" x14ac:dyDescent="0.35">
      <c r="A4" s="25"/>
      <c r="B4" s="25"/>
      <c r="C4" s="25" t="s">
        <v>19</v>
      </c>
      <c r="D4" s="25" t="s">
        <v>20</v>
      </c>
      <c r="E4" s="25" t="s">
        <v>21</v>
      </c>
      <c r="F4" s="25" t="s">
        <v>22</v>
      </c>
      <c r="G4" s="25" t="s">
        <v>23</v>
      </c>
      <c r="H4" s="25" t="s">
        <v>24</v>
      </c>
      <c r="I4" s="25" t="s">
        <v>25</v>
      </c>
      <c r="J4" s="25" t="s">
        <v>26</v>
      </c>
      <c r="K4" s="25" t="s">
        <v>27</v>
      </c>
    </row>
    <row r="5" spans="1:11" x14ac:dyDescent="0.35">
      <c r="A5" s="9"/>
      <c r="B5" s="9" t="s">
        <v>29</v>
      </c>
      <c r="C5" s="9">
        <v>12</v>
      </c>
      <c r="D5" s="9">
        <v>12</v>
      </c>
      <c r="E5" s="9">
        <v>12</v>
      </c>
      <c r="F5" s="9">
        <v>12</v>
      </c>
      <c r="G5" s="9">
        <v>12</v>
      </c>
      <c r="H5" s="9">
        <v>12</v>
      </c>
      <c r="I5" s="9">
        <v>12</v>
      </c>
      <c r="J5" s="9">
        <v>12</v>
      </c>
      <c r="K5" s="9">
        <v>12</v>
      </c>
    </row>
    <row r="6" spans="1:11" x14ac:dyDescent="0.35">
      <c r="A6" s="9"/>
      <c r="B6" s="9"/>
      <c r="C6" s="9"/>
      <c r="D6" s="9"/>
      <c r="E6" s="9"/>
      <c r="F6" s="9"/>
      <c r="G6" s="9"/>
      <c r="H6" s="9"/>
      <c r="I6" s="9"/>
      <c r="J6" s="9"/>
      <c r="K6" s="9"/>
    </row>
    <row r="7" spans="1:11" x14ac:dyDescent="0.35">
      <c r="A7" s="9"/>
      <c r="B7" s="72" t="s">
        <v>230</v>
      </c>
      <c r="C7" s="19"/>
      <c r="D7" s="19"/>
      <c r="E7" s="19"/>
      <c r="F7" s="19"/>
      <c r="G7" s="19"/>
      <c r="H7" s="19"/>
      <c r="I7" s="19"/>
      <c r="J7" s="19"/>
      <c r="K7" s="19"/>
    </row>
    <row r="8" spans="1:11" x14ac:dyDescent="0.35">
      <c r="A8" s="9"/>
      <c r="B8" s="9" t="s">
        <v>231</v>
      </c>
      <c r="C8" s="19">
        <f>'Ann 1'!$C$25</f>
        <v>6600</v>
      </c>
      <c r="D8" s="19">
        <f>C8*1.05</f>
        <v>6930</v>
      </c>
      <c r="E8" s="19">
        <f t="shared" ref="E8:K8" si="0">D8*1.05</f>
        <v>7276.5</v>
      </c>
      <c r="F8" s="19">
        <f t="shared" si="0"/>
        <v>7640.3250000000007</v>
      </c>
      <c r="G8" s="19">
        <f t="shared" si="0"/>
        <v>8022.3412500000013</v>
      </c>
      <c r="H8" s="19">
        <f t="shared" si="0"/>
        <v>8423.4583125000008</v>
      </c>
      <c r="I8" s="19">
        <f t="shared" si="0"/>
        <v>8844.6312281250011</v>
      </c>
      <c r="J8" s="19">
        <f t="shared" si="0"/>
        <v>9286.8627895312511</v>
      </c>
      <c r="K8" s="19">
        <f t="shared" si="0"/>
        <v>9751.2059290078141</v>
      </c>
    </row>
    <row r="9" spans="1:11" x14ac:dyDescent="0.35">
      <c r="A9" s="9"/>
      <c r="B9" s="9" t="s">
        <v>232</v>
      </c>
      <c r="C9" s="19">
        <f>'Ann 1'!C26</f>
        <v>33000</v>
      </c>
      <c r="D9" s="19">
        <f>C9*1.1</f>
        <v>36300</v>
      </c>
      <c r="E9" s="19">
        <f t="shared" ref="E9:K9" si="1">D9*1.1</f>
        <v>39930</v>
      </c>
      <c r="F9" s="19">
        <f t="shared" si="1"/>
        <v>43923</v>
      </c>
      <c r="G9" s="19">
        <f t="shared" si="1"/>
        <v>48315.3</v>
      </c>
      <c r="H9" s="19">
        <f t="shared" si="1"/>
        <v>53146.830000000009</v>
      </c>
      <c r="I9" s="19">
        <f t="shared" si="1"/>
        <v>58461.513000000014</v>
      </c>
      <c r="J9" s="19">
        <f t="shared" si="1"/>
        <v>64307.664300000019</v>
      </c>
      <c r="K9" s="19">
        <f t="shared" si="1"/>
        <v>70738.430730000022</v>
      </c>
    </row>
    <row r="10" spans="1:11" x14ac:dyDescent="0.35">
      <c r="A10" s="9"/>
      <c r="B10" s="9" t="s">
        <v>141</v>
      </c>
      <c r="C10" s="19">
        <f>SUM(C8:C9)</f>
        <v>39600</v>
      </c>
      <c r="D10" s="19">
        <f t="shared" ref="D10:K10" si="2">SUM(D8:D9)</f>
        <v>43230</v>
      </c>
      <c r="E10" s="19">
        <f t="shared" si="2"/>
        <v>47206.5</v>
      </c>
      <c r="F10" s="19">
        <f t="shared" si="2"/>
        <v>51563.324999999997</v>
      </c>
      <c r="G10" s="19">
        <f t="shared" si="2"/>
        <v>56337.641250000001</v>
      </c>
      <c r="H10" s="19">
        <f t="shared" si="2"/>
        <v>61570.288312500008</v>
      </c>
      <c r="I10" s="19">
        <f t="shared" si="2"/>
        <v>67306.14422812502</v>
      </c>
      <c r="J10" s="19">
        <f t="shared" si="2"/>
        <v>73594.527089531271</v>
      </c>
      <c r="K10" s="19">
        <f t="shared" si="2"/>
        <v>80489.63665900784</v>
      </c>
    </row>
    <row r="11" spans="1:11" x14ac:dyDescent="0.35">
      <c r="A11" s="9"/>
      <c r="B11" s="9"/>
      <c r="C11" s="19"/>
      <c r="D11" s="19"/>
      <c r="E11" s="19"/>
      <c r="F11" s="19"/>
      <c r="G11" s="19"/>
      <c r="H11" s="19"/>
      <c r="I11" s="19"/>
      <c r="J11" s="19"/>
      <c r="K11" s="19"/>
    </row>
    <row r="12" spans="1:11" x14ac:dyDescent="0.35">
      <c r="A12" s="9"/>
      <c r="B12" s="9"/>
      <c r="C12" s="19"/>
      <c r="D12" s="19"/>
      <c r="E12" s="19"/>
      <c r="F12" s="19"/>
      <c r="G12" s="19"/>
      <c r="H12" s="19"/>
      <c r="I12" s="19"/>
      <c r="J12" s="19"/>
      <c r="K12" s="19"/>
    </row>
    <row r="13" spans="1:11" x14ac:dyDescent="0.35">
      <c r="A13" s="9"/>
      <c r="B13" s="9" t="s">
        <v>31</v>
      </c>
      <c r="C13" s="19">
        <f>'Ann 8'!E10</f>
        <v>390000</v>
      </c>
      <c r="D13" s="19">
        <f>1.05*C13</f>
        <v>409500</v>
      </c>
      <c r="E13" s="19">
        <f t="shared" ref="E13:K13" si="3">1.05*D13</f>
        <v>429975</v>
      </c>
      <c r="F13" s="19">
        <f t="shared" si="3"/>
        <v>451473.75</v>
      </c>
      <c r="G13" s="19">
        <f t="shared" si="3"/>
        <v>474047.4375</v>
      </c>
      <c r="H13" s="19">
        <f t="shared" si="3"/>
        <v>497749.80937500001</v>
      </c>
      <c r="I13" s="19">
        <f t="shared" si="3"/>
        <v>522637.29984375002</v>
      </c>
      <c r="J13" s="19">
        <f t="shared" si="3"/>
        <v>548769.16483593755</v>
      </c>
      <c r="K13" s="19">
        <f t="shared" si="3"/>
        <v>576207.62307773449</v>
      </c>
    </row>
    <row r="14" spans="1:11" x14ac:dyDescent="0.35">
      <c r="A14" s="9"/>
      <c r="B14" s="9" t="s">
        <v>5</v>
      </c>
      <c r="C14" s="19">
        <f t="shared" ref="C14:K14" si="4">SUM(C13:C13)</f>
        <v>390000</v>
      </c>
      <c r="D14" s="19">
        <f t="shared" si="4"/>
        <v>409500</v>
      </c>
      <c r="E14" s="19">
        <f t="shared" si="4"/>
        <v>429975</v>
      </c>
      <c r="F14" s="19">
        <f t="shared" si="4"/>
        <v>451473.75</v>
      </c>
      <c r="G14" s="19">
        <f t="shared" si="4"/>
        <v>474047.4375</v>
      </c>
      <c r="H14" s="19">
        <f t="shared" si="4"/>
        <v>497749.80937500001</v>
      </c>
      <c r="I14" s="19">
        <f t="shared" si="4"/>
        <v>522637.29984375002</v>
      </c>
      <c r="J14" s="19">
        <f t="shared" si="4"/>
        <v>548769.16483593755</v>
      </c>
      <c r="K14" s="19">
        <f t="shared" si="4"/>
        <v>576207.62307773449</v>
      </c>
    </row>
    <row r="15" spans="1:11" x14ac:dyDescent="0.35">
      <c r="A15" s="9"/>
      <c r="B15" s="9"/>
      <c r="C15" s="19"/>
      <c r="D15" s="19"/>
      <c r="E15" s="19"/>
      <c r="F15" s="19"/>
      <c r="G15" s="19"/>
      <c r="H15" s="19"/>
      <c r="I15" s="19"/>
      <c r="J15" s="19"/>
      <c r="K15" s="19"/>
    </row>
    <row r="16" spans="1:11" x14ac:dyDescent="0.35">
      <c r="A16" s="9"/>
      <c r="B16" s="9" t="s">
        <v>63</v>
      </c>
      <c r="C16" s="19">
        <f t="shared" ref="C16:K16" si="5">C14+C10</f>
        <v>429600</v>
      </c>
      <c r="D16" s="19">
        <f t="shared" si="5"/>
        <v>452730</v>
      </c>
      <c r="E16" s="19">
        <f t="shared" si="5"/>
        <v>477181.5</v>
      </c>
      <c r="F16" s="19">
        <f t="shared" si="5"/>
        <v>503037.07500000001</v>
      </c>
      <c r="G16" s="19">
        <f t="shared" si="5"/>
        <v>530385.07874999999</v>
      </c>
      <c r="H16" s="19">
        <f t="shared" si="5"/>
        <v>559320.09768750006</v>
      </c>
      <c r="I16" s="19">
        <f t="shared" si="5"/>
        <v>589943.44407187507</v>
      </c>
      <c r="J16" s="19">
        <f t="shared" si="5"/>
        <v>622363.69192546885</v>
      </c>
      <c r="K16" s="19">
        <f t="shared" si="5"/>
        <v>656697.25973674236</v>
      </c>
    </row>
    <row r="17" spans="1:11" x14ac:dyDescent="0.35">
      <c r="A17" s="9"/>
      <c r="B17" s="9" t="s">
        <v>64</v>
      </c>
      <c r="C17" s="19">
        <f>Budgets!B16</f>
        <v>1296000</v>
      </c>
      <c r="D17" s="19">
        <f>Budgets!C16</f>
        <v>1514700.0000000002</v>
      </c>
      <c r="E17" s="19">
        <f>Budgets!D16</f>
        <v>1603800.0000000002</v>
      </c>
      <c r="F17" s="19">
        <f>Budgets!E16</f>
        <v>1692900.0000000002</v>
      </c>
      <c r="G17" s="19">
        <f>Budgets!F16</f>
        <v>1782000.0000000002</v>
      </c>
      <c r="H17" s="19">
        <f>Budgets!G16</f>
        <v>1782000.0000000002</v>
      </c>
      <c r="I17" s="19">
        <f>Budgets!H16</f>
        <v>1782000.0000000002</v>
      </c>
      <c r="J17" s="19">
        <f>Budgets!I16</f>
        <v>1782000.0000000002</v>
      </c>
      <c r="K17" s="19">
        <f>Budgets!J16</f>
        <v>1782000.0000000002</v>
      </c>
    </row>
    <row r="18" spans="1:11" x14ac:dyDescent="0.35">
      <c r="A18" s="9"/>
      <c r="B18" s="9" t="s">
        <v>65</v>
      </c>
      <c r="C18" s="19">
        <f>C17-C16</f>
        <v>866400</v>
      </c>
      <c r="D18" s="19">
        <f t="shared" ref="D18:K18" si="6">D17-D16</f>
        <v>1061970.0000000002</v>
      </c>
      <c r="E18" s="19">
        <f t="shared" si="6"/>
        <v>1126618.5000000002</v>
      </c>
      <c r="F18" s="19">
        <f t="shared" si="6"/>
        <v>1189862.9250000003</v>
      </c>
      <c r="G18" s="19">
        <f t="shared" si="6"/>
        <v>1251614.9212500001</v>
      </c>
      <c r="H18" s="19">
        <f t="shared" si="6"/>
        <v>1222679.9023125002</v>
      </c>
      <c r="I18" s="19">
        <f t="shared" si="6"/>
        <v>1192056.555928125</v>
      </c>
      <c r="J18" s="19">
        <f t="shared" si="6"/>
        <v>1159636.3080745314</v>
      </c>
      <c r="K18" s="19">
        <f t="shared" si="6"/>
        <v>1125302.7402632579</v>
      </c>
    </row>
    <row r="19" spans="1:11" x14ac:dyDescent="0.35">
      <c r="A19" s="9"/>
      <c r="B19" s="9"/>
      <c r="C19" s="19"/>
      <c r="D19" s="19"/>
      <c r="E19" s="19"/>
      <c r="F19" s="19"/>
      <c r="G19" s="19"/>
      <c r="H19" s="19"/>
      <c r="I19" s="19"/>
      <c r="J19" s="19"/>
      <c r="K19" s="19"/>
    </row>
    <row r="20" spans="1:11" x14ac:dyDescent="0.35">
      <c r="A20" s="9"/>
      <c r="B20" s="9" t="s">
        <v>66</v>
      </c>
      <c r="C20" s="19"/>
      <c r="D20" s="19"/>
      <c r="E20" s="19"/>
      <c r="F20" s="19"/>
      <c r="G20" s="19"/>
      <c r="H20" s="19"/>
      <c r="I20" s="19"/>
      <c r="J20" s="19"/>
      <c r="K20" s="19"/>
    </row>
    <row r="21" spans="1:11" x14ac:dyDescent="0.35">
      <c r="A21" s="9"/>
      <c r="B21" s="9" t="s">
        <v>67</v>
      </c>
      <c r="C21" s="19">
        <f>SUM('Ann 13'!E10:E13)*100000</f>
        <v>176489.99999999997</v>
      </c>
      <c r="D21" s="19">
        <f>SUM('Ann 13'!E14:E17)*100000</f>
        <v>154259.99999999997</v>
      </c>
      <c r="E21" s="19">
        <f>SUM('Ann 13'!E18:E21)*100000</f>
        <v>126899.99999999997</v>
      </c>
      <c r="F21" s="19">
        <f>SUM('Ann 13'!E22:E25)*100000</f>
        <v>99539.999999999956</v>
      </c>
      <c r="G21" s="19">
        <f>SUM('Ann 13'!E26:E29)*100000</f>
        <v>72179.999999999942</v>
      </c>
      <c r="H21" s="19">
        <f>SUM('Ann 13'!E30:E33)*100000</f>
        <v>36179.999999999949</v>
      </c>
      <c r="I21" s="19">
        <f>SUM('Ann 13'!E34:E37)*100000</f>
        <v>0</v>
      </c>
      <c r="J21" s="19">
        <v>0</v>
      </c>
      <c r="K21" s="19">
        <v>0</v>
      </c>
    </row>
    <row r="22" spans="1:11" x14ac:dyDescent="0.35">
      <c r="A22" s="9"/>
      <c r="B22" s="27" t="s">
        <v>77</v>
      </c>
      <c r="C22" s="19">
        <f t="shared" ref="C22:K22" si="7">SUM(C21:C21)</f>
        <v>176489.99999999997</v>
      </c>
      <c r="D22" s="19">
        <f t="shared" si="7"/>
        <v>154259.99999999997</v>
      </c>
      <c r="E22" s="19">
        <f t="shared" si="7"/>
        <v>126899.99999999997</v>
      </c>
      <c r="F22" s="19">
        <f t="shared" si="7"/>
        <v>99539.999999999956</v>
      </c>
      <c r="G22" s="19">
        <f t="shared" si="7"/>
        <v>72179.999999999942</v>
      </c>
      <c r="H22" s="19">
        <f t="shared" si="7"/>
        <v>36179.999999999949</v>
      </c>
      <c r="I22" s="19">
        <f t="shared" si="7"/>
        <v>0</v>
      </c>
      <c r="J22" s="19">
        <f t="shared" si="7"/>
        <v>0</v>
      </c>
      <c r="K22" s="19">
        <f t="shared" si="7"/>
        <v>0</v>
      </c>
    </row>
    <row r="23" spans="1:11" x14ac:dyDescent="0.35">
      <c r="A23" s="9"/>
      <c r="B23" s="9"/>
      <c r="C23" s="19"/>
      <c r="D23" s="19"/>
      <c r="E23" s="19"/>
      <c r="F23" s="19"/>
      <c r="G23" s="19"/>
      <c r="H23" s="19"/>
      <c r="I23" s="19"/>
      <c r="J23" s="19"/>
      <c r="K23" s="19"/>
    </row>
    <row r="24" spans="1:11" x14ac:dyDescent="0.35">
      <c r="A24" s="9"/>
      <c r="B24" s="9" t="s">
        <v>78</v>
      </c>
      <c r="C24" s="19">
        <f t="shared" ref="C24:K24" si="8">C18-C22</f>
        <v>689910</v>
      </c>
      <c r="D24" s="19">
        <f t="shared" si="8"/>
        <v>907710.00000000023</v>
      </c>
      <c r="E24" s="19">
        <f t="shared" si="8"/>
        <v>999718.50000000023</v>
      </c>
      <c r="F24" s="19">
        <f t="shared" si="8"/>
        <v>1090322.9250000003</v>
      </c>
      <c r="G24" s="19">
        <f t="shared" si="8"/>
        <v>1179434.9212500001</v>
      </c>
      <c r="H24" s="19">
        <f t="shared" si="8"/>
        <v>1186499.9023125002</v>
      </c>
      <c r="I24" s="19">
        <f t="shared" si="8"/>
        <v>1192056.555928125</v>
      </c>
      <c r="J24" s="19">
        <f t="shared" si="8"/>
        <v>1159636.3080745314</v>
      </c>
      <c r="K24" s="19">
        <f t="shared" si="8"/>
        <v>1125302.7402632579</v>
      </c>
    </row>
    <row r="25" spans="1:11" x14ac:dyDescent="0.35">
      <c r="A25" s="9"/>
      <c r="B25" s="27" t="s">
        <v>79</v>
      </c>
      <c r="C25" s="19">
        <f>'Ann 9'!C12+'Ann 9'!D12+'Ann 9'!E12</f>
        <v>495000</v>
      </c>
      <c r="D25" s="19">
        <f>'Ann 9'!C13+'Ann 9'!D13+'Ann 9'!E13</f>
        <v>420750</v>
      </c>
      <c r="E25" s="19">
        <f>'Ann 9'!C14+'Ann 9'!D14+'Ann 9'!E14</f>
        <v>357637.5</v>
      </c>
      <c r="F25" s="19">
        <f>'Ann 9'!C15+'Ann 9'!D15+'Ann 9'!E15</f>
        <v>303991.875</v>
      </c>
      <c r="G25" s="19">
        <f>'Ann 9'!C16+'Ann 9'!D16+'Ann 9'!E16</f>
        <v>258393.09375</v>
      </c>
      <c r="H25" s="19">
        <f>'Ann 9'!C17+'Ann 9'!D17+'Ann 9'!E17</f>
        <v>219634.12968749998</v>
      </c>
      <c r="I25" s="19">
        <f>'Ann 9'!C18+'Ann 9'!D18+'Ann 9'!E18</f>
        <v>186689.01023437499</v>
      </c>
      <c r="J25" s="19">
        <f>'Ann 9'!C19+'Ann 9'!D19+'Ann 9'!E19</f>
        <v>158685.65869921874</v>
      </c>
      <c r="K25" s="19">
        <f>'Ann 9'!C20+'Ann 9'!D20+'Ann 9'!E20</f>
        <v>134882.80989433592</v>
      </c>
    </row>
    <row r="26" spans="1:11" x14ac:dyDescent="0.35">
      <c r="A26" s="9"/>
      <c r="B26" s="27" t="s">
        <v>270</v>
      </c>
      <c r="C26" s="19">
        <v>0</v>
      </c>
      <c r="D26" s="19">
        <v>0</v>
      </c>
      <c r="E26" s="19">
        <v>0</v>
      </c>
      <c r="F26" s="19">
        <v>0</v>
      </c>
      <c r="G26" s="19">
        <v>0</v>
      </c>
      <c r="H26" s="19">
        <f>'Ann 13'!D5*100000</f>
        <v>660000</v>
      </c>
      <c r="I26" s="19">
        <v>0</v>
      </c>
      <c r="J26" s="19">
        <v>0</v>
      </c>
      <c r="K26" s="19">
        <v>0</v>
      </c>
    </row>
    <row r="27" spans="1:11" x14ac:dyDescent="0.35">
      <c r="A27" s="9"/>
      <c r="B27" s="27" t="s">
        <v>80</v>
      </c>
      <c r="C27" s="19">
        <f>C24-C25</f>
        <v>194910</v>
      </c>
      <c r="D27" s="19">
        <f>D24-D25</f>
        <v>486960.00000000023</v>
      </c>
      <c r="E27" s="19">
        <f t="shared" ref="E27:G27" si="9">E24-E25</f>
        <v>642081.00000000023</v>
      </c>
      <c r="F27" s="19">
        <f t="shared" si="9"/>
        <v>786331.05000000028</v>
      </c>
      <c r="G27" s="19">
        <f t="shared" si="9"/>
        <v>921041.82750000013</v>
      </c>
      <c r="H27" s="19">
        <f>H24-H25+H26</f>
        <v>1626865.7726250002</v>
      </c>
      <c r="I27" s="19">
        <f>I24-I25+I26</f>
        <v>1005367.54569375</v>
      </c>
      <c r="J27" s="19">
        <f>J24-J25+J26</f>
        <v>1000950.6493753126</v>
      </c>
      <c r="K27" s="19">
        <f>K24-K25+K26</f>
        <v>990419.93036892195</v>
      </c>
    </row>
    <row r="28" spans="1:11" x14ac:dyDescent="0.35">
      <c r="A28" s="9"/>
      <c r="B28" s="27" t="s">
        <v>81</v>
      </c>
      <c r="C28" s="19">
        <f>'Ann 10'!B14</f>
        <v>58473</v>
      </c>
      <c r="D28" s="19">
        <f>'Ann 10'!C14</f>
        <v>146088.00000000006</v>
      </c>
      <c r="E28" s="19">
        <f>'Ann 10'!D14</f>
        <v>192624.30000000008</v>
      </c>
      <c r="F28" s="19">
        <f>'Ann 10'!E14</f>
        <v>235899.31500000006</v>
      </c>
      <c r="G28" s="19">
        <f>'Ann 10'!F14</f>
        <v>276312.54825000005</v>
      </c>
      <c r="H28" s="19">
        <f>'Ann 10'!G14</f>
        <v>290059.73178750003</v>
      </c>
      <c r="I28" s="19">
        <f>'Ann 10'!H14</f>
        <v>301610.26370812498</v>
      </c>
      <c r="J28" s="19">
        <f>'Ann 10'!I14</f>
        <v>300285.19481259375</v>
      </c>
      <c r="K28" s="19">
        <f>'Ann 10'!J14</f>
        <v>297125.97911067656</v>
      </c>
    </row>
    <row r="29" spans="1:11" x14ac:dyDescent="0.35">
      <c r="A29" s="9"/>
      <c r="B29" s="27" t="s">
        <v>82</v>
      </c>
      <c r="C29" s="19">
        <f>C27-C28</f>
        <v>136437</v>
      </c>
      <c r="D29" s="19">
        <f>D27-D28</f>
        <v>340872.00000000017</v>
      </c>
      <c r="E29" s="19">
        <f t="shared" ref="E29:K29" si="10">E27-E28</f>
        <v>449456.70000000019</v>
      </c>
      <c r="F29" s="19">
        <f t="shared" si="10"/>
        <v>550431.73500000022</v>
      </c>
      <c r="G29" s="19">
        <f t="shared" si="10"/>
        <v>644729.27925000014</v>
      </c>
      <c r="H29" s="19">
        <f t="shared" si="10"/>
        <v>1336806.0408375002</v>
      </c>
      <c r="I29" s="19">
        <f t="shared" si="10"/>
        <v>703757.28198562504</v>
      </c>
      <c r="J29" s="19">
        <f t="shared" si="10"/>
        <v>700665.45456271886</v>
      </c>
      <c r="K29" s="19">
        <f t="shared" si="10"/>
        <v>693293.95125824539</v>
      </c>
    </row>
    <row r="30" spans="1:11" x14ac:dyDescent="0.35">
      <c r="A30" s="9"/>
      <c r="B30" s="27" t="s">
        <v>245</v>
      </c>
      <c r="C30" s="19">
        <f>C29*70%</f>
        <v>95505.9</v>
      </c>
      <c r="D30" s="19">
        <f t="shared" ref="D30:K30" si="11">D29*70%</f>
        <v>238610.40000000011</v>
      </c>
      <c r="E30" s="19">
        <f t="shared" si="11"/>
        <v>314619.69000000012</v>
      </c>
      <c r="F30" s="19">
        <f t="shared" si="11"/>
        <v>385302.21450000012</v>
      </c>
      <c r="G30" s="19">
        <f t="shared" si="11"/>
        <v>451310.49547500006</v>
      </c>
      <c r="H30" s="19">
        <f t="shared" si="11"/>
        <v>935764.2285862501</v>
      </c>
      <c r="I30" s="19">
        <f t="shared" si="11"/>
        <v>492630.09738993749</v>
      </c>
      <c r="J30" s="19">
        <f t="shared" si="11"/>
        <v>490465.81819390319</v>
      </c>
      <c r="K30" s="19">
        <f t="shared" si="11"/>
        <v>485305.76588077174</v>
      </c>
    </row>
    <row r="31" spans="1:11" x14ac:dyDescent="0.35">
      <c r="A31" s="9"/>
      <c r="B31" s="27" t="s">
        <v>92</v>
      </c>
      <c r="C31" s="19">
        <f>C29-C30</f>
        <v>40931.100000000006</v>
      </c>
      <c r="D31" s="19">
        <f t="shared" ref="D31:K31" si="12">D29-D30</f>
        <v>102261.60000000006</v>
      </c>
      <c r="E31" s="19">
        <f t="shared" si="12"/>
        <v>134837.01000000007</v>
      </c>
      <c r="F31" s="19">
        <f t="shared" si="12"/>
        <v>165129.5205000001</v>
      </c>
      <c r="G31" s="19">
        <f t="shared" si="12"/>
        <v>193418.78377500008</v>
      </c>
      <c r="H31" s="19">
        <f t="shared" si="12"/>
        <v>401041.81225125014</v>
      </c>
      <c r="I31" s="19">
        <f t="shared" si="12"/>
        <v>211127.18459568755</v>
      </c>
      <c r="J31" s="19">
        <f t="shared" si="12"/>
        <v>210199.63636881567</v>
      </c>
      <c r="K31" s="19">
        <f t="shared" si="12"/>
        <v>207988.18537747365</v>
      </c>
    </row>
    <row r="33" spans="2:2" x14ac:dyDescent="0.35">
      <c r="B33" t="s">
        <v>240</v>
      </c>
    </row>
    <row r="34" spans="2:2" x14ac:dyDescent="0.35">
      <c r="B34" t="s">
        <v>234</v>
      </c>
    </row>
  </sheetData>
  <mergeCells count="1">
    <mergeCell ref="C3:K3"/>
  </mergeCells>
  <pageMargins left="0.7" right="0.7" top="0.75" bottom="0.75" header="0.3" footer="0.3"/>
  <pageSetup scale="59" orientation="landscape" r:id="rId1"/>
  <ignoredErrors>
    <ignoredError sqref="D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2"/>
  <sheetViews>
    <sheetView topLeftCell="A27" workbookViewId="0">
      <selection activeCell="F40" sqref="F40"/>
    </sheetView>
  </sheetViews>
  <sheetFormatPr defaultRowHeight="14.5" x14ac:dyDescent="0.35"/>
  <cols>
    <col min="2" max="2" width="28.26953125" customWidth="1"/>
    <col min="3" max="3" width="15.6328125" bestFit="1" customWidth="1"/>
    <col min="4" max="10" width="13.7265625" bestFit="1" customWidth="1"/>
    <col min="11" max="11" width="13.6328125" bestFit="1" customWidth="1"/>
    <col min="12" max="12" width="10" bestFit="1" customWidth="1"/>
  </cols>
  <sheetData>
    <row r="1" spans="1:11" x14ac:dyDescent="0.35">
      <c r="A1" s="15" t="s">
        <v>93</v>
      </c>
    </row>
    <row r="3" spans="1:11" x14ac:dyDescent="0.35">
      <c r="A3" t="s">
        <v>94</v>
      </c>
    </row>
    <row r="5" spans="1:11" x14ac:dyDescent="0.35">
      <c r="A5" s="91" t="s">
        <v>17</v>
      </c>
      <c r="B5" s="91" t="s">
        <v>18</v>
      </c>
      <c r="C5" s="91" t="s">
        <v>28</v>
      </c>
      <c r="D5" s="91"/>
      <c r="E5" s="91"/>
      <c r="F5" s="91"/>
      <c r="G5" s="91"/>
      <c r="H5" s="91"/>
      <c r="I5" s="91"/>
      <c r="J5" s="91"/>
      <c r="K5" s="91"/>
    </row>
    <row r="6" spans="1:11" x14ac:dyDescent="0.35">
      <c r="A6" s="91"/>
      <c r="B6" s="91"/>
      <c r="C6" s="22" t="s">
        <v>19</v>
      </c>
      <c r="D6" s="22" t="s">
        <v>20</v>
      </c>
      <c r="E6" s="22" t="s">
        <v>21</v>
      </c>
      <c r="F6" s="22" t="s">
        <v>22</v>
      </c>
      <c r="G6" s="22" t="s">
        <v>23</v>
      </c>
      <c r="H6" s="22" t="s">
        <v>24</v>
      </c>
      <c r="I6" s="22" t="s">
        <v>25</v>
      </c>
      <c r="J6" s="22" t="s">
        <v>26</v>
      </c>
      <c r="K6" s="22" t="s">
        <v>27</v>
      </c>
    </row>
    <row r="7" spans="1:11" x14ac:dyDescent="0.35">
      <c r="A7" s="29" t="s">
        <v>127</v>
      </c>
      <c r="B7" s="30" t="s">
        <v>95</v>
      </c>
      <c r="C7" s="39"/>
      <c r="D7" s="39"/>
      <c r="E7" s="32"/>
      <c r="F7" s="32"/>
      <c r="G7" s="32"/>
      <c r="H7" s="32"/>
      <c r="I7" s="32"/>
      <c r="J7" s="32"/>
      <c r="K7" s="32"/>
    </row>
    <row r="8" spans="1:11" x14ac:dyDescent="0.35">
      <c r="A8" s="11">
        <v>1</v>
      </c>
      <c r="B8" s="5" t="s">
        <v>96</v>
      </c>
      <c r="C8" s="7"/>
      <c r="D8" s="7"/>
      <c r="E8" s="6"/>
      <c r="F8" s="6"/>
      <c r="G8" s="6"/>
      <c r="H8" s="6"/>
      <c r="I8" s="6"/>
      <c r="J8" s="6"/>
      <c r="K8" s="6"/>
    </row>
    <row r="9" spans="1:11" x14ac:dyDescent="0.35">
      <c r="A9" s="11"/>
      <c r="B9" s="5" t="s">
        <v>97</v>
      </c>
      <c r="C9" s="40">
        <f>'Ann 9'!C6+'Ann 9'!D6+'Ann 9'!E6</f>
        <v>3300000</v>
      </c>
      <c r="D9" s="42">
        <f>C11</f>
        <v>2805000</v>
      </c>
      <c r="E9" s="17">
        <f t="shared" ref="E9:K9" si="0">D11</f>
        <v>2384250</v>
      </c>
      <c r="F9" s="17">
        <f t="shared" si="0"/>
        <v>2026612.5</v>
      </c>
      <c r="G9" s="17">
        <f t="shared" si="0"/>
        <v>1722620.625</v>
      </c>
      <c r="H9" s="17">
        <f t="shared" si="0"/>
        <v>1464227.53125</v>
      </c>
      <c r="I9" s="17">
        <f t="shared" si="0"/>
        <v>1244593.4015625</v>
      </c>
      <c r="J9" s="17">
        <f t="shared" si="0"/>
        <v>1057904.391328125</v>
      </c>
      <c r="K9" s="17">
        <f t="shared" si="0"/>
        <v>899218.73262890626</v>
      </c>
    </row>
    <row r="10" spans="1:11" x14ac:dyDescent="0.35">
      <c r="A10" s="11"/>
      <c r="B10" s="5" t="s">
        <v>98</v>
      </c>
      <c r="C10" s="40">
        <f>'Ann 9'!C12+'Ann 9'!D12+'Ann 9'!E12</f>
        <v>495000</v>
      </c>
      <c r="D10" s="42">
        <f>'Ann 9'!C13+'Ann 9'!D13+'Ann 9'!E13</f>
        <v>420750</v>
      </c>
      <c r="E10" s="17">
        <f>'Ann 9'!C14+'Ann 9'!D14+'Ann 9'!E14</f>
        <v>357637.5</v>
      </c>
      <c r="F10" s="17">
        <f>'Ann 9'!C15+'Ann 9'!D15+'Ann 9'!E15</f>
        <v>303991.875</v>
      </c>
      <c r="G10" s="17">
        <f>'Ann 9'!C16+'Ann 9'!D16+'Ann 9'!E16</f>
        <v>258393.09375</v>
      </c>
      <c r="H10" s="17">
        <f>'Ann 9'!C17+'Ann 9'!D17+'Ann 9'!E17</f>
        <v>219634.12968749998</v>
      </c>
      <c r="I10" s="17">
        <f>+'Ann 9'!C18+'Ann 9'!D18+'Ann 9'!E18</f>
        <v>186689.01023437499</v>
      </c>
      <c r="J10" s="17">
        <f>'Ann 9'!C19+'Ann 9'!D19+'Ann 9'!E19</f>
        <v>158685.65869921874</v>
      </c>
      <c r="K10" s="17">
        <f>+'Ann 9'!C20+'Ann 9'!D20+'Ann 9'!E20</f>
        <v>134882.80989433592</v>
      </c>
    </row>
    <row r="11" spans="1:11" x14ac:dyDescent="0.35">
      <c r="A11" s="11"/>
      <c r="B11" s="5" t="s">
        <v>99</v>
      </c>
      <c r="C11" s="40">
        <f>C9-C10</f>
        <v>2805000</v>
      </c>
      <c r="D11" s="42">
        <f>D9-D10</f>
        <v>2384250</v>
      </c>
      <c r="E11" s="17">
        <f t="shared" ref="E11:K11" si="1">E9-E10</f>
        <v>2026612.5</v>
      </c>
      <c r="F11" s="17">
        <f t="shared" si="1"/>
        <v>1722620.625</v>
      </c>
      <c r="G11" s="17">
        <f t="shared" si="1"/>
        <v>1464227.53125</v>
      </c>
      <c r="H11" s="17">
        <f t="shared" si="1"/>
        <v>1244593.4015625</v>
      </c>
      <c r="I11" s="17">
        <f t="shared" si="1"/>
        <v>1057904.391328125</v>
      </c>
      <c r="J11" s="17">
        <f t="shared" si="1"/>
        <v>899218.73262890626</v>
      </c>
      <c r="K11" s="17">
        <f t="shared" si="1"/>
        <v>764335.92273457034</v>
      </c>
    </row>
    <row r="12" spans="1:11" x14ac:dyDescent="0.35">
      <c r="A12" s="11">
        <v>2</v>
      </c>
      <c r="B12" s="5" t="s">
        <v>100</v>
      </c>
      <c r="C12" s="41">
        <f>'Cash flows'!B16</f>
        <v>317831.09999999998</v>
      </c>
      <c r="D12" s="41">
        <f>'Cash flows'!C16</f>
        <v>385832.7</v>
      </c>
      <c r="E12" s="41">
        <f>'Cash flows'!D16</f>
        <v>423396.21</v>
      </c>
      <c r="F12" s="41">
        <f>'Cash flows'!E16</f>
        <v>437715.50550000014</v>
      </c>
      <c r="G12" s="41">
        <f>'Cash flows'!F16</f>
        <v>434845.07302500057</v>
      </c>
      <c r="H12" s="41">
        <f>'Cash flows'!G16</f>
        <v>138970.4739637509</v>
      </c>
      <c r="I12" s="41">
        <f>'Cash flows'!H16</f>
        <v>538381.07369381352</v>
      </c>
      <c r="J12" s="41">
        <f>'Cash flows'!I16</f>
        <v>909020.21415184787</v>
      </c>
      <c r="K12" s="41">
        <f>'Cash flows'!J16</f>
        <v>1253820.4393526576</v>
      </c>
    </row>
    <row r="13" spans="1:11" x14ac:dyDescent="0.35">
      <c r="A13" s="11"/>
      <c r="B13" s="5" t="s">
        <v>108</v>
      </c>
      <c r="C13" s="40">
        <f t="shared" ref="C13:K13" si="2">SUM(C11:C12)</f>
        <v>3122831.1</v>
      </c>
      <c r="D13" s="40">
        <f t="shared" si="2"/>
        <v>2770082.7</v>
      </c>
      <c r="E13" s="33">
        <f t="shared" si="2"/>
        <v>2450008.71</v>
      </c>
      <c r="F13" s="33">
        <f t="shared" si="2"/>
        <v>2160336.1305</v>
      </c>
      <c r="G13" s="33">
        <f t="shared" si="2"/>
        <v>1899072.6042750005</v>
      </c>
      <c r="H13" s="33">
        <f t="shared" si="2"/>
        <v>1383563.875526251</v>
      </c>
      <c r="I13" s="33">
        <f t="shared" si="2"/>
        <v>1596285.4650219386</v>
      </c>
      <c r="J13" s="33">
        <f t="shared" si="2"/>
        <v>1808238.9467807543</v>
      </c>
      <c r="K13" s="33">
        <f t="shared" si="2"/>
        <v>2018156.3620872279</v>
      </c>
    </row>
    <row r="14" spans="1:11" x14ac:dyDescent="0.35">
      <c r="A14" s="11"/>
      <c r="B14" s="5"/>
      <c r="C14" s="40"/>
      <c r="D14" s="40"/>
      <c r="E14" s="33"/>
      <c r="F14" s="33"/>
      <c r="G14" s="33"/>
      <c r="H14" s="33"/>
      <c r="I14" s="33"/>
      <c r="J14" s="33"/>
      <c r="K14" s="33"/>
    </row>
    <row r="15" spans="1:11" x14ac:dyDescent="0.35">
      <c r="A15" s="11" t="s">
        <v>128</v>
      </c>
      <c r="B15" s="34" t="s">
        <v>101</v>
      </c>
      <c r="C15" s="7"/>
      <c r="D15" s="7"/>
      <c r="E15" s="6"/>
      <c r="F15" s="6"/>
      <c r="G15" s="6"/>
      <c r="H15" s="6"/>
      <c r="I15" s="6"/>
      <c r="J15" s="6"/>
      <c r="K15" s="6"/>
    </row>
    <row r="16" spans="1:11" x14ac:dyDescent="0.35">
      <c r="A16" s="11">
        <v>1</v>
      </c>
      <c r="B16" s="5" t="s">
        <v>102</v>
      </c>
      <c r="C16" s="41">
        <f>'Ann 2'!C4*100000</f>
        <v>330000</v>
      </c>
      <c r="D16" s="41">
        <f>C19</f>
        <v>370931.1</v>
      </c>
      <c r="E16" s="14">
        <f t="shared" ref="E16:K16" si="3">D19</f>
        <v>473192.70000000007</v>
      </c>
      <c r="F16" s="14">
        <f t="shared" si="3"/>
        <v>608029.7100000002</v>
      </c>
      <c r="G16" s="14">
        <f t="shared" si="3"/>
        <v>773159.2305000003</v>
      </c>
      <c r="H16" s="14">
        <f t="shared" si="3"/>
        <v>966578.01427500043</v>
      </c>
      <c r="I16" s="14">
        <f t="shared" si="3"/>
        <v>1367619.8265262507</v>
      </c>
      <c r="J16" s="14">
        <f t="shared" si="3"/>
        <v>1578747.0111219382</v>
      </c>
      <c r="K16" s="14">
        <f t="shared" si="3"/>
        <v>1788946.6474907538</v>
      </c>
    </row>
    <row r="17" spans="1:13" x14ac:dyDescent="0.35">
      <c r="A17" s="11"/>
      <c r="B17" s="5" t="s">
        <v>103</v>
      </c>
      <c r="C17" s="41">
        <f>'Ann 4'!C31</f>
        <v>40931.100000000006</v>
      </c>
      <c r="D17" s="41">
        <f>'Ann 4'!D31</f>
        <v>102261.60000000006</v>
      </c>
      <c r="E17" s="14">
        <f>'Ann 4'!E31</f>
        <v>134837.01000000007</v>
      </c>
      <c r="F17" s="14">
        <f>'Ann 4'!F31</f>
        <v>165129.5205000001</v>
      </c>
      <c r="G17" s="14">
        <f>'Ann 4'!G31</f>
        <v>193418.78377500008</v>
      </c>
      <c r="H17" s="14">
        <f>'Ann 4'!H31</f>
        <v>401041.81225125014</v>
      </c>
      <c r="I17" s="14">
        <f>'Ann 4'!I31</f>
        <v>211127.18459568755</v>
      </c>
      <c r="J17" s="14">
        <f>'Ann 4'!J31</f>
        <v>210199.63636881567</v>
      </c>
      <c r="K17" s="14">
        <f>'Ann 4'!K31</f>
        <v>207988.18537747365</v>
      </c>
    </row>
    <row r="18" spans="1:13" x14ac:dyDescent="0.35">
      <c r="A18" s="11"/>
      <c r="B18" s="5" t="s">
        <v>104</v>
      </c>
      <c r="C18" s="41">
        <v>0</v>
      </c>
      <c r="D18" s="41">
        <v>0</v>
      </c>
      <c r="E18" s="14">
        <v>0</v>
      </c>
      <c r="F18" s="14">
        <v>0</v>
      </c>
      <c r="G18" s="14">
        <v>0</v>
      </c>
      <c r="H18" s="14">
        <v>0</v>
      </c>
      <c r="I18" s="14">
        <v>0</v>
      </c>
      <c r="J18" s="14">
        <v>0</v>
      </c>
      <c r="K18" s="14">
        <v>0</v>
      </c>
    </row>
    <row r="19" spans="1:13" x14ac:dyDescent="0.35">
      <c r="A19" s="11"/>
      <c r="B19" s="5" t="s">
        <v>105</v>
      </c>
      <c r="C19" s="41">
        <f>C16+C17</f>
        <v>370931.1</v>
      </c>
      <c r="D19" s="41">
        <f t="shared" ref="D19:K19" si="4">D16+D17</f>
        <v>473192.70000000007</v>
      </c>
      <c r="E19" s="14">
        <f t="shared" si="4"/>
        <v>608029.7100000002</v>
      </c>
      <c r="F19" s="14">
        <f t="shared" si="4"/>
        <v>773159.2305000003</v>
      </c>
      <c r="G19" s="14">
        <f t="shared" si="4"/>
        <v>966578.01427500043</v>
      </c>
      <c r="H19" s="14">
        <f t="shared" si="4"/>
        <v>1367619.8265262507</v>
      </c>
      <c r="I19" s="14">
        <f t="shared" si="4"/>
        <v>1578747.0111219382</v>
      </c>
      <c r="J19" s="14">
        <f t="shared" si="4"/>
        <v>1788946.6474907538</v>
      </c>
      <c r="K19" s="14">
        <f t="shared" si="4"/>
        <v>1996934.8328682275</v>
      </c>
    </row>
    <row r="20" spans="1:13" x14ac:dyDescent="0.35">
      <c r="A20" s="11">
        <v>2</v>
      </c>
      <c r="B20" s="5" t="s">
        <v>106</v>
      </c>
      <c r="C20" s="41">
        <f>'Ann 13'!C14*100000</f>
        <v>2742000</v>
      </c>
      <c r="D20" s="41">
        <f>'Ann 13'!C18*100000</f>
        <v>2285999.9999999995</v>
      </c>
      <c r="E20" s="41">
        <f>'Ann 13'!C22*100000</f>
        <v>1829999.9999999993</v>
      </c>
      <c r="F20" s="41">
        <f>'Ann 13'!C26*100000</f>
        <v>1373999.9999999991</v>
      </c>
      <c r="G20" s="14">
        <f>('Ann 13'!C29-'Ann 13'!D29)*100000</f>
        <v>917999.99999999895</v>
      </c>
      <c r="H20" s="14">
        <v>0</v>
      </c>
      <c r="I20" s="14">
        <v>0</v>
      </c>
      <c r="J20" s="14">
        <v>0</v>
      </c>
      <c r="K20" s="14">
        <v>0</v>
      </c>
    </row>
    <row r="21" spans="1:13" x14ac:dyDescent="0.35">
      <c r="A21" s="11">
        <v>3</v>
      </c>
      <c r="B21" s="43" t="s">
        <v>136</v>
      </c>
      <c r="C21" s="41">
        <f>'Ann 4'!C9*90/300</f>
        <v>9900</v>
      </c>
      <c r="D21" s="41">
        <f>'Ann 4'!D9*90/300</f>
        <v>10890</v>
      </c>
      <c r="E21" s="41">
        <f>'Ann 4'!E9*90/300</f>
        <v>11979</v>
      </c>
      <c r="F21" s="41">
        <f>'Ann 4'!F9*90/300</f>
        <v>13176.9</v>
      </c>
      <c r="G21" s="41">
        <f>'Ann 4'!G9*90/300</f>
        <v>14494.59</v>
      </c>
      <c r="H21" s="41">
        <f>'Ann 4'!H9*90/300</f>
        <v>15944.049000000005</v>
      </c>
      <c r="I21" s="41">
        <f>'Ann 4'!I9*90/300</f>
        <v>17538.453900000004</v>
      </c>
      <c r="J21" s="41">
        <f>'Ann 4'!J9*90/300</f>
        <v>19292.299290000006</v>
      </c>
      <c r="K21" s="41">
        <f>'Ann 4'!K9*90/300</f>
        <v>21221.529219000007</v>
      </c>
    </row>
    <row r="22" spans="1:13" x14ac:dyDescent="0.35">
      <c r="A22" s="11"/>
      <c r="B22" s="5" t="s">
        <v>107</v>
      </c>
      <c r="C22" s="40">
        <f t="shared" ref="C22:K22" si="5">SUM(C19:C21)</f>
        <v>3122831.1</v>
      </c>
      <c r="D22" s="40">
        <f t="shared" si="5"/>
        <v>2770082.6999999997</v>
      </c>
      <c r="E22" s="40">
        <f t="shared" si="5"/>
        <v>2450008.7099999995</v>
      </c>
      <c r="F22" s="40">
        <f t="shared" si="5"/>
        <v>2160336.1304999995</v>
      </c>
      <c r="G22" s="40">
        <f t="shared" si="5"/>
        <v>1899072.6042749996</v>
      </c>
      <c r="H22" s="40">
        <f t="shared" si="5"/>
        <v>1383563.8755262508</v>
      </c>
      <c r="I22" s="40">
        <f t="shared" si="5"/>
        <v>1596285.4650219383</v>
      </c>
      <c r="J22" s="40">
        <f t="shared" si="5"/>
        <v>1808238.9467807538</v>
      </c>
      <c r="K22" s="40">
        <f t="shared" si="5"/>
        <v>2018156.3620872274</v>
      </c>
    </row>
    <row r="23" spans="1:13" x14ac:dyDescent="0.35">
      <c r="A23" s="11"/>
      <c r="B23" s="5"/>
      <c r="C23" s="40"/>
      <c r="D23" s="40"/>
      <c r="E23" s="40"/>
      <c r="F23" s="40"/>
      <c r="G23" s="40"/>
      <c r="H23" s="40"/>
      <c r="I23" s="40"/>
      <c r="J23" s="40"/>
      <c r="K23" s="40"/>
      <c r="L23" s="51"/>
      <c r="M23" s="5"/>
    </row>
    <row r="24" spans="1:13" x14ac:dyDescent="0.35">
      <c r="A24" s="44"/>
      <c r="B24" s="45" t="s">
        <v>109</v>
      </c>
      <c r="C24" s="46"/>
      <c r="D24" s="46"/>
      <c r="E24" s="47"/>
      <c r="F24" s="47"/>
      <c r="G24" s="47"/>
      <c r="H24" s="47"/>
      <c r="I24" s="47"/>
      <c r="J24" s="47"/>
      <c r="K24" s="47"/>
    </row>
    <row r="25" spans="1:13" x14ac:dyDescent="0.35">
      <c r="A25" s="11"/>
      <c r="B25" s="5" t="s">
        <v>110</v>
      </c>
      <c r="C25" s="40">
        <f t="shared" ref="C25:K25" si="6">SUM(C12:C12)</f>
        <v>317831.09999999998</v>
      </c>
      <c r="D25" s="40">
        <f t="shared" si="6"/>
        <v>385832.7</v>
      </c>
      <c r="E25" s="33">
        <f t="shared" si="6"/>
        <v>423396.21</v>
      </c>
      <c r="F25" s="33">
        <f t="shared" si="6"/>
        <v>437715.50550000014</v>
      </c>
      <c r="G25" s="33">
        <f t="shared" si="6"/>
        <v>434845.07302500057</v>
      </c>
      <c r="H25" s="33">
        <f t="shared" si="6"/>
        <v>138970.4739637509</v>
      </c>
      <c r="I25" s="33">
        <f t="shared" si="6"/>
        <v>538381.07369381352</v>
      </c>
      <c r="J25" s="33">
        <f t="shared" si="6"/>
        <v>909020.21415184787</v>
      </c>
      <c r="K25" s="33">
        <f t="shared" si="6"/>
        <v>1253820.4393526576</v>
      </c>
    </row>
    <row r="26" spans="1:13" x14ac:dyDescent="0.35">
      <c r="A26" s="11"/>
      <c r="B26" s="5" t="s">
        <v>111</v>
      </c>
      <c r="C26" s="40">
        <f>C21</f>
        <v>9900</v>
      </c>
      <c r="D26" s="40">
        <f t="shared" ref="D26:K26" si="7">D21</f>
        <v>10890</v>
      </c>
      <c r="E26" s="40">
        <f t="shared" si="7"/>
        <v>11979</v>
      </c>
      <c r="F26" s="40">
        <f t="shared" si="7"/>
        <v>13176.9</v>
      </c>
      <c r="G26" s="40">
        <f t="shared" si="7"/>
        <v>14494.59</v>
      </c>
      <c r="H26" s="40">
        <f t="shared" si="7"/>
        <v>15944.049000000005</v>
      </c>
      <c r="I26" s="40">
        <f t="shared" si="7"/>
        <v>17538.453900000004</v>
      </c>
      <c r="J26" s="40">
        <f t="shared" si="7"/>
        <v>19292.299290000006</v>
      </c>
      <c r="K26" s="40">
        <f t="shared" si="7"/>
        <v>21221.529219000007</v>
      </c>
    </row>
    <row r="27" spans="1:13" x14ac:dyDescent="0.35">
      <c r="A27" s="11"/>
      <c r="B27" s="5" t="s">
        <v>116</v>
      </c>
      <c r="C27" s="7">
        <f>C25/C26</f>
        <v>32.104151515151514</v>
      </c>
      <c r="D27" s="7">
        <f>D25/D26</f>
        <v>35.43</v>
      </c>
      <c r="E27" s="6">
        <f t="shared" ref="E27:K27" si="8">E25/E26</f>
        <v>35.344871024292516</v>
      </c>
      <c r="F27" s="6">
        <f t="shared" si="8"/>
        <v>33.218397764269298</v>
      </c>
      <c r="G27" s="6">
        <f t="shared" si="8"/>
        <v>30.000508674270922</v>
      </c>
      <c r="H27" s="6">
        <f t="shared" si="8"/>
        <v>8.7161343999727343</v>
      </c>
      <c r="I27" s="6">
        <f t="shared" si="8"/>
        <v>30.697179851971637</v>
      </c>
      <c r="J27" s="6">
        <f t="shared" si="8"/>
        <v>47.11829318462992</v>
      </c>
      <c r="K27" s="6">
        <f t="shared" si="8"/>
        <v>59.082473577356069</v>
      </c>
    </row>
    <row r="28" spans="1:13" x14ac:dyDescent="0.35">
      <c r="A28" s="11"/>
      <c r="B28" s="43" t="s">
        <v>129</v>
      </c>
      <c r="C28" s="7"/>
      <c r="D28" s="7"/>
      <c r="E28" s="6"/>
      <c r="F28" s="6">
        <f>AVERAGE(C27:K27)</f>
        <v>34.634667776879397</v>
      </c>
      <c r="G28" s="6"/>
      <c r="H28" s="6"/>
      <c r="I28" s="6"/>
      <c r="J28" s="6"/>
      <c r="K28" s="6"/>
    </row>
    <row r="29" spans="1:13" x14ac:dyDescent="0.35">
      <c r="A29" s="11"/>
      <c r="B29" s="5"/>
      <c r="C29" s="7"/>
      <c r="D29" s="7"/>
      <c r="E29" s="6"/>
      <c r="F29" s="6"/>
      <c r="G29" s="6"/>
      <c r="H29" s="6"/>
      <c r="I29" s="6"/>
      <c r="J29" s="6"/>
      <c r="K29" s="6"/>
    </row>
    <row r="30" spans="1:13" x14ac:dyDescent="0.35">
      <c r="A30" s="44"/>
      <c r="B30" s="45" t="s">
        <v>113</v>
      </c>
      <c r="C30" s="46"/>
      <c r="D30" s="46"/>
      <c r="E30" s="47"/>
      <c r="F30" s="47"/>
      <c r="G30" s="47"/>
      <c r="H30" s="47"/>
      <c r="I30" s="47"/>
      <c r="J30" s="47"/>
      <c r="K30" s="47"/>
    </row>
    <row r="31" spans="1:13" x14ac:dyDescent="0.35">
      <c r="A31" s="11"/>
      <c r="B31" s="5" t="s">
        <v>114</v>
      </c>
      <c r="C31" s="40">
        <f t="shared" ref="C31:K31" si="9">C20</f>
        <v>2742000</v>
      </c>
      <c r="D31" s="40">
        <f t="shared" si="9"/>
        <v>2285999.9999999995</v>
      </c>
      <c r="E31" s="33">
        <f t="shared" si="9"/>
        <v>1829999.9999999993</v>
      </c>
      <c r="F31" s="33">
        <f t="shared" si="9"/>
        <v>1373999.9999999991</v>
      </c>
      <c r="G31" s="33">
        <f t="shared" si="9"/>
        <v>917999.99999999895</v>
      </c>
      <c r="H31" s="33">
        <f t="shared" si="9"/>
        <v>0</v>
      </c>
      <c r="I31" s="33">
        <f t="shared" si="9"/>
        <v>0</v>
      </c>
      <c r="J31" s="33">
        <f t="shared" si="9"/>
        <v>0</v>
      </c>
      <c r="K31" s="33">
        <f t="shared" si="9"/>
        <v>0</v>
      </c>
    </row>
    <row r="32" spans="1:13" x14ac:dyDescent="0.35">
      <c r="A32" s="11"/>
      <c r="B32" s="5" t="s">
        <v>115</v>
      </c>
      <c r="C32" s="40">
        <f t="shared" ref="C32:K32" si="10">C19</f>
        <v>370931.1</v>
      </c>
      <c r="D32" s="40">
        <f t="shared" si="10"/>
        <v>473192.70000000007</v>
      </c>
      <c r="E32" s="33">
        <f t="shared" si="10"/>
        <v>608029.7100000002</v>
      </c>
      <c r="F32" s="33">
        <f t="shared" si="10"/>
        <v>773159.2305000003</v>
      </c>
      <c r="G32" s="33">
        <f t="shared" si="10"/>
        <v>966578.01427500043</v>
      </c>
      <c r="H32" s="33">
        <f t="shared" si="10"/>
        <v>1367619.8265262507</v>
      </c>
      <c r="I32" s="33">
        <f t="shared" si="10"/>
        <v>1578747.0111219382</v>
      </c>
      <c r="J32" s="33">
        <f t="shared" si="10"/>
        <v>1788946.6474907538</v>
      </c>
      <c r="K32" s="33">
        <f t="shared" si="10"/>
        <v>1996934.8328682275</v>
      </c>
    </row>
    <row r="33" spans="1:11" x14ac:dyDescent="0.35">
      <c r="A33" s="11"/>
      <c r="B33" s="5" t="s">
        <v>116</v>
      </c>
      <c r="C33" s="7">
        <f>C31/C32</f>
        <v>7.3922084182210659</v>
      </c>
      <c r="D33" s="7">
        <f t="shared" ref="D33:K33" si="11">D31/D32</f>
        <v>4.8310128199357241</v>
      </c>
      <c r="E33" s="6">
        <f t="shared" si="11"/>
        <v>3.0097213506228151</v>
      </c>
      <c r="F33" s="6">
        <f t="shared" si="11"/>
        <v>1.7771242271937133</v>
      </c>
      <c r="G33" s="6">
        <f t="shared" si="11"/>
        <v>0.94974227267993638</v>
      </c>
      <c r="H33" s="6">
        <f t="shared" si="11"/>
        <v>0</v>
      </c>
      <c r="I33" s="33">
        <f t="shared" si="11"/>
        <v>0</v>
      </c>
      <c r="J33" s="33">
        <f t="shared" si="11"/>
        <v>0</v>
      </c>
      <c r="K33" s="33">
        <f t="shared" si="11"/>
        <v>0</v>
      </c>
    </row>
    <row r="34" spans="1:11" x14ac:dyDescent="0.35">
      <c r="A34" s="11"/>
      <c r="B34" s="43" t="s">
        <v>129</v>
      </c>
      <c r="C34" s="7"/>
      <c r="D34" s="7"/>
      <c r="E34" s="6"/>
      <c r="F34" s="6">
        <f>AVERAGE(C33:K33)</f>
        <v>1.9955343431836949</v>
      </c>
      <c r="G34" s="6"/>
      <c r="H34" s="6"/>
      <c r="I34" s="33"/>
      <c r="J34" s="33"/>
      <c r="K34" s="33"/>
    </row>
    <row r="35" spans="1:11" x14ac:dyDescent="0.35">
      <c r="A35" s="11"/>
      <c r="B35" s="5"/>
      <c r="C35" s="7"/>
      <c r="D35" s="7"/>
      <c r="E35" s="6"/>
      <c r="F35" s="6"/>
      <c r="G35" s="6"/>
      <c r="H35" s="6"/>
      <c r="I35" s="33"/>
      <c r="J35" s="33"/>
      <c r="K35" s="33"/>
    </row>
    <row r="36" spans="1:11" x14ac:dyDescent="0.35">
      <c r="A36" s="44"/>
      <c r="B36" s="45" t="s">
        <v>130</v>
      </c>
      <c r="C36" s="46"/>
      <c r="D36" s="46"/>
      <c r="E36" s="47"/>
      <c r="F36" s="47"/>
      <c r="G36" s="47"/>
      <c r="H36" s="47"/>
      <c r="I36" s="48"/>
      <c r="J36" s="48"/>
      <c r="K36" s="48"/>
    </row>
    <row r="37" spans="1:11" x14ac:dyDescent="0.35">
      <c r="A37" s="11"/>
      <c r="B37" s="43" t="s">
        <v>131</v>
      </c>
      <c r="C37" s="40">
        <f t="shared" ref="C37:K37" si="12">C11</f>
        <v>2805000</v>
      </c>
      <c r="D37" s="40">
        <f t="shared" si="12"/>
        <v>2384250</v>
      </c>
      <c r="E37" s="40">
        <f t="shared" si="12"/>
        <v>2026612.5</v>
      </c>
      <c r="F37" s="40">
        <f t="shared" si="12"/>
        <v>1722620.625</v>
      </c>
      <c r="G37" s="40">
        <f t="shared" si="12"/>
        <v>1464227.53125</v>
      </c>
      <c r="H37" s="40">
        <f t="shared" si="12"/>
        <v>1244593.4015625</v>
      </c>
      <c r="I37" s="40">
        <f t="shared" si="12"/>
        <v>1057904.391328125</v>
      </c>
      <c r="J37" s="40">
        <f t="shared" si="12"/>
        <v>899218.73262890626</v>
      </c>
      <c r="K37" s="40">
        <f t="shared" si="12"/>
        <v>764335.92273457034</v>
      </c>
    </row>
    <row r="38" spans="1:11" x14ac:dyDescent="0.35">
      <c r="A38" s="11"/>
      <c r="B38" s="43" t="s">
        <v>114</v>
      </c>
      <c r="C38" s="40">
        <f>C20</f>
        <v>2742000</v>
      </c>
      <c r="D38" s="40">
        <f t="shared" ref="D38:K38" si="13">D20</f>
        <v>2285999.9999999995</v>
      </c>
      <c r="E38" s="40">
        <f t="shared" si="13"/>
        <v>1829999.9999999993</v>
      </c>
      <c r="F38" s="40">
        <f t="shared" si="13"/>
        <v>1373999.9999999991</v>
      </c>
      <c r="G38" s="40">
        <f t="shared" si="13"/>
        <v>917999.99999999895</v>
      </c>
      <c r="H38" s="40">
        <f t="shared" si="13"/>
        <v>0</v>
      </c>
      <c r="I38" s="40">
        <f t="shared" si="13"/>
        <v>0</v>
      </c>
      <c r="J38" s="40">
        <f t="shared" si="13"/>
        <v>0</v>
      </c>
      <c r="K38" s="40">
        <f t="shared" si="13"/>
        <v>0</v>
      </c>
    </row>
    <row r="39" spans="1:11" x14ac:dyDescent="0.35">
      <c r="A39" s="11"/>
      <c r="B39" s="43" t="s">
        <v>125</v>
      </c>
      <c r="C39" s="7">
        <f>C37/C38</f>
        <v>1.0229759299781183</v>
      </c>
      <c r="D39" s="7">
        <f t="shared" ref="D39:H39" si="14">D37/D38</f>
        <v>1.0429790026246721</v>
      </c>
      <c r="E39" s="7">
        <f t="shared" si="14"/>
        <v>1.1074385245901643</v>
      </c>
      <c r="F39" s="7">
        <f t="shared" si="14"/>
        <v>1.2537268013100444</v>
      </c>
      <c r="G39" s="7">
        <f t="shared" si="14"/>
        <v>1.595019097222224</v>
      </c>
      <c r="H39" s="7">
        <v>0</v>
      </c>
      <c r="I39" s="40">
        <v>0</v>
      </c>
      <c r="J39" s="40">
        <v>0</v>
      </c>
      <c r="K39" s="40">
        <v>0</v>
      </c>
    </row>
    <row r="40" spans="1:11" x14ac:dyDescent="0.35">
      <c r="A40" s="11"/>
      <c r="B40" s="43"/>
      <c r="C40" s="7"/>
      <c r="D40" s="7"/>
      <c r="E40" s="6"/>
      <c r="F40" s="6">
        <f>AVERAGE(C39:K39)</f>
        <v>0.66912659508058026</v>
      </c>
      <c r="G40" s="6"/>
      <c r="H40" s="6"/>
      <c r="I40" s="6"/>
      <c r="J40" s="6"/>
      <c r="K40" s="6"/>
    </row>
    <row r="41" spans="1:11" x14ac:dyDescent="0.35">
      <c r="A41" s="11"/>
      <c r="B41" s="5"/>
      <c r="C41" s="7"/>
      <c r="D41" s="7"/>
      <c r="E41" s="6"/>
      <c r="F41" s="6"/>
      <c r="G41" s="6"/>
      <c r="H41" s="6"/>
      <c r="I41" s="33"/>
      <c r="J41" s="33"/>
      <c r="K41" s="33"/>
    </row>
    <row r="42" spans="1:11" x14ac:dyDescent="0.35">
      <c r="A42" s="44"/>
      <c r="B42" s="45" t="s">
        <v>122</v>
      </c>
      <c r="C42" s="46"/>
      <c r="D42" s="46"/>
      <c r="E42" s="47"/>
      <c r="F42" s="47"/>
      <c r="G42" s="47"/>
      <c r="H42" s="47"/>
      <c r="I42" s="48"/>
      <c r="J42" s="48"/>
      <c r="K42" s="48"/>
    </row>
    <row r="43" spans="1:11" x14ac:dyDescent="0.35">
      <c r="A43" s="11"/>
      <c r="B43" s="5" t="s">
        <v>123</v>
      </c>
      <c r="C43" s="41">
        <f>'Ann 4'!C22</f>
        <v>176489.99999999997</v>
      </c>
      <c r="D43" s="41">
        <f>'Ann 4'!D22</f>
        <v>154259.99999999997</v>
      </c>
      <c r="E43" s="41">
        <f>'Ann 4'!E22</f>
        <v>126899.99999999997</v>
      </c>
      <c r="F43" s="41">
        <f>'Ann 4'!F22</f>
        <v>99539.999999999956</v>
      </c>
      <c r="G43" s="41">
        <f>'Ann 4'!G22</f>
        <v>72179.999999999942</v>
      </c>
      <c r="H43" s="41">
        <f>'Ann 4'!H22</f>
        <v>36179.999999999949</v>
      </c>
      <c r="I43" s="41">
        <f>'Ann 4'!I22</f>
        <v>0</v>
      </c>
      <c r="J43" s="41">
        <f>'Ann 4'!J22</f>
        <v>0</v>
      </c>
      <c r="K43" s="41">
        <f>'Ann 4'!K22</f>
        <v>0</v>
      </c>
    </row>
    <row r="44" spans="1:11" x14ac:dyDescent="0.35">
      <c r="A44" s="11"/>
      <c r="B44" s="5" t="s">
        <v>126</v>
      </c>
      <c r="C44" s="41">
        <f>(SUM('Ann 13'!D10:D13)*100000)+1500000</f>
        <v>1728000</v>
      </c>
      <c r="D44" s="41">
        <f>(SUM('Ann 13'!E10:E13)*100000)+1500000</f>
        <v>1676490</v>
      </c>
      <c r="E44" s="41">
        <f>(SUM('Ann 13'!F10:F13)*100000)+1500000</f>
        <v>1500000</v>
      </c>
      <c r="F44" s="41">
        <f>(SUM('Ann 13'!G10:G13)*100000)+1500000</f>
        <v>1500000</v>
      </c>
      <c r="G44" s="41">
        <f>(SUM('Ann 13'!H10:H13)*100000)+1500000</f>
        <v>1500000</v>
      </c>
      <c r="H44" s="41">
        <f>(SUM('Ann 13'!I10:I13)*100000)+1500000</f>
        <v>1500000</v>
      </c>
      <c r="I44" s="41">
        <f>(SUM('Ann 13'!J10:J13)*100000)+1500000</f>
        <v>1500000</v>
      </c>
      <c r="J44" s="41">
        <f>(SUM('Ann 13'!K10:K13)*100000)+1500000</f>
        <v>1500000</v>
      </c>
      <c r="K44" s="41">
        <f>(SUM('Ann 13'!L10:L13)*100000)+1500000</f>
        <v>1500000</v>
      </c>
    </row>
    <row r="45" spans="1:11" x14ac:dyDescent="0.35">
      <c r="A45" s="11"/>
      <c r="B45" s="5" t="s">
        <v>5</v>
      </c>
      <c r="C45" s="41">
        <f>SUM(C43:C44)</f>
        <v>1904490</v>
      </c>
      <c r="D45" s="41">
        <f t="shared" ref="D45:K45" si="15">SUM(D43:D44)</f>
        <v>1830750</v>
      </c>
      <c r="E45" s="14">
        <f t="shared" si="15"/>
        <v>1626900</v>
      </c>
      <c r="F45" s="14">
        <f t="shared" si="15"/>
        <v>1599540</v>
      </c>
      <c r="G45" s="14">
        <f t="shared" si="15"/>
        <v>1572180</v>
      </c>
      <c r="H45" s="14">
        <f t="shared" si="15"/>
        <v>1536180</v>
      </c>
      <c r="I45" s="14">
        <f t="shared" si="15"/>
        <v>1500000</v>
      </c>
      <c r="J45" s="14">
        <f t="shared" si="15"/>
        <v>1500000</v>
      </c>
      <c r="K45" s="14">
        <f t="shared" si="15"/>
        <v>1500000</v>
      </c>
    </row>
    <row r="46" spans="1:11" x14ac:dyDescent="0.35">
      <c r="A46" s="11"/>
      <c r="B46" s="5" t="s">
        <v>124</v>
      </c>
      <c r="C46" s="41">
        <f>'Ann 4'!C18</f>
        <v>866400</v>
      </c>
      <c r="D46" s="41">
        <f>'Ann 4'!D18</f>
        <v>1061970.0000000002</v>
      </c>
      <c r="E46" s="14">
        <f>'Ann 4'!E18</f>
        <v>1126618.5000000002</v>
      </c>
      <c r="F46" s="14">
        <f>'Ann 4'!F18</f>
        <v>1189862.9250000003</v>
      </c>
      <c r="G46" s="14">
        <f>'Ann 4'!G18</f>
        <v>1251614.9212500001</v>
      </c>
      <c r="H46" s="14">
        <f>'Ann 4'!H18</f>
        <v>1222679.9023125002</v>
      </c>
      <c r="I46" s="14">
        <f>'Ann 4'!I18</f>
        <v>1192056.555928125</v>
      </c>
      <c r="J46" s="14">
        <f>'Ann 4'!J18</f>
        <v>1159636.3080745314</v>
      </c>
      <c r="K46" s="14">
        <f>'Ann 4'!K18</f>
        <v>1125302.7402632579</v>
      </c>
    </row>
    <row r="47" spans="1:11" x14ac:dyDescent="0.35">
      <c r="A47" s="35"/>
      <c r="B47" s="36" t="s">
        <v>125</v>
      </c>
      <c r="C47" s="8">
        <f>C46/C45</f>
        <v>0.45492494053526139</v>
      </c>
      <c r="D47" s="8">
        <f t="shared" ref="D47:K47" si="16">D46/D45</f>
        <v>0.58007374027038117</v>
      </c>
      <c r="E47" s="37">
        <f t="shared" si="16"/>
        <v>0.69249400700719177</v>
      </c>
      <c r="F47" s="37">
        <f t="shared" si="16"/>
        <v>0.74387819310551806</v>
      </c>
      <c r="G47" s="37">
        <f t="shared" si="16"/>
        <v>0.79610154133114541</v>
      </c>
      <c r="H47" s="37">
        <f t="shared" si="16"/>
        <v>0.79592228925809483</v>
      </c>
      <c r="I47" s="37">
        <f t="shared" si="16"/>
        <v>0.79470437061874999</v>
      </c>
      <c r="J47" s="37">
        <f t="shared" si="16"/>
        <v>0.77309087204968763</v>
      </c>
      <c r="K47" s="37">
        <f t="shared" si="16"/>
        <v>0.75020182684217196</v>
      </c>
    </row>
    <row r="48" spans="1:11" x14ac:dyDescent="0.35">
      <c r="A48" s="5"/>
      <c r="B48" s="43" t="s">
        <v>129</v>
      </c>
      <c r="C48" s="5"/>
      <c r="D48" s="5"/>
      <c r="E48" s="5"/>
      <c r="F48" s="5">
        <f>AVERAGE(D47:I47)</f>
        <v>0.73386235693184687</v>
      </c>
      <c r="G48" s="5"/>
      <c r="H48" s="5"/>
      <c r="I48" s="5"/>
      <c r="J48" s="5"/>
      <c r="K48" s="5"/>
    </row>
    <row r="49" spans="1:11" x14ac:dyDescent="0.35">
      <c r="I49" s="13"/>
      <c r="J49" s="13"/>
      <c r="K49" s="13"/>
    </row>
    <row r="51" spans="1:11" x14ac:dyDescent="0.35">
      <c r="A51" t="s">
        <v>112</v>
      </c>
    </row>
    <row r="52" spans="1:11" x14ac:dyDescent="0.35">
      <c r="A52" t="s">
        <v>242</v>
      </c>
    </row>
  </sheetData>
  <mergeCells count="3">
    <mergeCell ref="A5:A6"/>
    <mergeCell ref="B5:B6"/>
    <mergeCell ref="C5:K5"/>
  </mergeCells>
  <pageMargins left="0.7" right="0.7" top="0.75" bottom="0.75" header="0.3" footer="0.3"/>
  <pageSetup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2"/>
  <sheetViews>
    <sheetView workbookViewId="0">
      <selection activeCell="A8" sqref="A8:D8"/>
    </sheetView>
  </sheetViews>
  <sheetFormatPr defaultRowHeight="14.5" x14ac:dyDescent="0.35"/>
  <cols>
    <col min="1" max="1" width="5.6328125" bestFit="1" customWidth="1"/>
    <col min="2" max="2" width="26.08984375" bestFit="1" customWidth="1"/>
    <col min="4" max="4" width="25" bestFit="1" customWidth="1"/>
    <col min="5" max="5" width="12.54296875" bestFit="1" customWidth="1"/>
  </cols>
  <sheetData>
    <row r="1" spans="1:5" x14ac:dyDescent="0.35">
      <c r="A1" s="15" t="s">
        <v>133</v>
      </c>
    </row>
    <row r="3" spans="1:5" x14ac:dyDescent="0.35">
      <c r="A3" s="3" t="s">
        <v>134</v>
      </c>
    </row>
    <row r="5" spans="1:5" x14ac:dyDescent="0.35">
      <c r="A5" s="22" t="s">
        <v>32</v>
      </c>
      <c r="B5" s="22" t="s">
        <v>33</v>
      </c>
      <c r="C5" s="22" t="s">
        <v>34</v>
      </c>
      <c r="D5" s="22" t="s">
        <v>35</v>
      </c>
      <c r="E5" s="22" t="s">
        <v>238</v>
      </c>
    </row>
    <row r="6" spans="1:5" x14ac:dyDescent="0.35">
      <c r="A6" s="27" t="s">
        <v>36</v>
      </c>
      <c r="B6" s="27" t="s">
        <v>235</v>
      </c>
      <c r="C6" s="27">
        <v>2</v>
      </c>
      <c r="D6" s="19">
        <v>12000</v>
      </c>
      <c r="E6" s="19">
        <f>D6*C6*12</f>
        <v>288000</v>
      </c>
    </row>
    <row r="7" spans="1:5" x14ac:dyDescent="0.35">
      <c r="A7" s="9" t="s">
        <v>37</v>
      </c>
      <c r="B7" s="9" t="s">
        <v>135</v>
      </c>
      <c r="C7" s="9">
        <v>1</v>
      </c>
      <c r="D7" s="19">
        <v>8500</v>
      </c>
      <c r="E7" s="19">
        <f>D7*C7*12</f>
        <v>102000</v>
      </c>
    </row>
    <row r="8" spans="1:5" x14ac:dyDescent="0.35">
      <c r="A8" s="92" t="s">
        <v>5</v>
      </c>
      <c r="B8" s="92"/>
      <c r="C8" s="92"/>
      <c r="D8" s="92"/>
      <c r="E8" s="26">
        <f>SUM(E6:E7)</f>
        <v>390000</v>
      </c>
    </row>
    <row r="9" spans="1:5" x14ac:dyDescent="0.35">
      <c r="A9" s="29"/>
      <c r="B9" s="31"/>
      <c r="C9" s="31"/>
      <c r="D9" s="31"/>
      <c r="E9" s="32"/>
    </row>
    <row r="10" spans="1:5" x14ac:dyDescent="0.35">
      <c r="A10" t="s">
        <v>38</v>
      </c>
      <c r="E10" s="13">
        <f>E8</f>
        <v>390000</v>
      </c>
    </row>
    <row r="11" spans="1:5" x14ac:dyDescent="0.35">
      <c r="A11" t="s">
        <v>39</v>
      </c>
      <c r="E11" s="16">
        <v>0.05</v>
      </c>
    </row>
    <row r="12" spans="1:5" x14ac:dyDescent="0.35">
      <c r="A12" t="s">
        <v>137</v>
      </c>
      <c r="E12">
        <f>SUM(C6:C7)</f>
        <v>3</v>
      </c>
    </row>
  </sheetData>
  <mergeCells count="1">
    <mergeCell ref="A8:D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sheetPr>
    <pageSetUpPr fitToPage="1"/>
  </sheetPr>
  <dimension ref="A1:F22"/>
  <sheetViews>
    <sheetView workbookViewId="0">
      <selection activeCell="A22" sqref="A22"/>
    </sheetView>
  </sheetViews>
  <sheetFormatPr defaultRowHeight="14.5" x14ac:dyDescent="0.35"/>
  <cols>
    <col min="1" max="1" width="6.36328125" bestFit="1" customWidth="1"/>
    <col min="2" max="2" width="18.81640625" bestFit="1" customWidth="1"/>
    <col min="3" max="3" width="19.453125" bestFit="1" customWidth="1"/>
    <col min="4" max="4" width="18.08984375" bestFit="1" customWidth="1"/>
    <col min="5" max="5" width="14.453125" bestFit="1" customWidth="1"/>
    <col min="6" max="6" width="26.453125" bestFit="1" customWidth="1"/>
  </cols>
  <sheetData>
    <row r="1" spans="1:6" x14ac:dyDescent="0.35">
      <c r="A1" s="15" t="s">
        <v>42</v>
      </c>
    </row>
    <row r="3" spans="1:6" x14ac:dyDescent="0.35">
      <c r="A3" s="3" t="s">
        <v>41</v>
      </c>
    </row>
    <row r="5" spans="1:6" x14ac:dyDescent="0.35">
      <c r="A5" s="22" t="s">
        <v>9</v>
      </c>
      <c r="B5" s="22" t="s">
        <v>3</v>
      </c>
      <c r="C5" s="22" t="s">
        <v>45</v>
      </c>
      <c r="D5" s="22" t="s">
        <v>6</v>
      </c>
      <c r="E5" s="22" t="s">
        <v>46</v>
      </c>
      <c r="F5" s="22" t="s">
        <v>47</v>
      </c>
    </row>
    <row r="6" spans="1:6" x14ac:dyDescent="0.35">
      <c r="A6" s="9" t="s">
        <v>36</v>
      </c>
      <c r="B6" s="9" t="s">
        <v>7</v>
      </c>
      <c r="C6" s="19">
        <v>0</v>
      </c>
      <c r="D6" s="19">
        <f>'Ann 1'!C24</f>
        <v>3300000</v>
      </c>
      <c r="E6" s="19">
        <v>0</v>
      </c>
      <c r="F6" s="9">
        <f>SUM(C6:E6)/100000</f>
        <v>33</v>
      </c>
    </row>
    <row r="7" spans="1:6" x14ac:dyDescent="0.35">
      <c r="A7" s="9" t="s">
        <v>37</v>
      </c>
      <c r="B7" s="9" t="s">
        <v>43</v>
      </c>
      <c r="C7" s="19">
        <v>0</v>
      </c>
      <c r="D7" s="19">
        <v>0</v>
      </c>
      <c r="E7" s="19">
        <v>0</v>
      </c>
      <c r="F7" s="19">
        <f>SUM(C7:E7)/100000</f>
        <v>0</v>
      </c>
    </row>
    <row r="8" spans="1:6" x14ac:dyDescent="0.35">
      <c r="A8" s="9" t="s">
        <v>40</v>
      </c>
      <c r="B8" s="9" t="s">
        <v>44</v>
      </c>
      <c r="C8" s="19">
        <v>0</v>
      </c>
      <c r="D8" s="19">
        <v>0</v>
      </c>
      <c r="E8" s="19">
        <v>0</v>
      </c>
      <c r="F8" s="19">
        <f>SUM(C8:E8)/100000</f>
        <v>0</v>
      </c>
    </row>
    <row r="9" spans="1:6" x14ac:dyDescent="0.35">
      <c r="A9" s="9"/>
      <c r="B9" s="92" t="s">
        <v>5</v>
      </c>
      <c r="C9" s="92"/>
      <c r="D9" s="92"/>
      <c r="E9" s="92"/>
      <c r="F9" s="9">
        <f>SUM(F6:F8)</f>
        <v>33</v>
      </c>
    </row>
    <row r="11" spans="1:6" x14ac:dyDescent="0.35">
      <c r="A11" s="9"/>
      <c r="B11" s="9" t="s">
        <v>48</v>
      </c>
      <c r="C11" s="53">
        <v>0.1</v>
      </c>
      <c r="D11" s="53">
        <v>0.15</v>
      </c>
      <c r="E11" s="53">
        <v>0.1</v>
      </c>
      <c r="F11" s="9" t="s">
        <v>142</v>
      </c>
    </row>
    <row r="12" spans="1:6" x14ac:dyDescent="0.35">
      <c r="A12" s="57" t="s">
        <v>49</v>
      </c>
      <c r="B12" s="54">
        <v>1</v>
      </c>
      <c r="C12" s="58">
        <f>C11*C6</f>
        <v>0</v>
      </c>
      <c r="D12" s="58">
        <f>D11*D6</f>
        <v>495000</v>
      </c>
      <c r="E12" s="58">
        <f>E11*E6</f>
        <v>0</v>
      </c>
      <c r="F12" s="58">
        <f>SUM(C12:E12)</f>
        <v>495000</v>
      </c>
    </row>
    <row r="13" spans="1:6" x14ac:dyDescent="0.35">
      <c r="A13" s="57" t="s">
        <v>49</v>
      </c>
      <c r="B13" s="54">
        <v>2</v>
      </c>
      <c r="C13" s="58">
        <f>(C6-C12)*C11</f>
        <v>0</v>
      </c>
      <c r="D13" s="58">
        <f>(D6-D12)*D11</f>
        <v>420750</v>
      </c>
      <c r="E13" s="58">
        <f>(E6-E12)*E11</f>
        <v>0</v>
      </c>
      <c r="F13" s="58">
        <f>SUM(C13:E13)</f>
        <v>420750</v>
      </c>
    </row>
    <row r="14" spans="1:6" x14ac:dyDescent="0.35">
      <c r="A14" s="57" t="s">
        <v>49</v>
      </c>
      <c r="B14" s="54">
        <v>3</v>
      </c>
      <c r="C14" s="58">
        <f>(C6-C12-C13)*C11</f>
        <v>0</v>
      </c>
      <c r="D14" s="58">
        <f>(D6-D12-D13)*D11</f>
        <v>357637.5</v>
      </c>
      <c r="E14" s="58">
        <f>(E6-E12-E13)*E11</f>
        <v>0</v>
      </c>
      <c r="F14" s="58">
        <f t="shared" ref="F14:F20" si="0">SUM(C14:E14)</f>
        <v>357637.5</v>
      </c>
    </row>
    <row r="15" spans="1:6" x14ac:dyDescent="0.35">
      <c r="A15" s="57" t="s">
        <v>49</v>
      </c>
      <c r="B15" s="54">
        <v>4</v>
      </c>
      <c r="C15" s="58">
        <f>(C6-C12-C13-C14)*C11</f>
        <v>0</v>
      </c>
      <c r="D15" s="58">
        <f>(D6-D12-D13-D14)*D11</f>
        <v>303991.875</v>
      </c>
      <c r="E15" s="58">
        <f>(E6-E12-E13-E14)*E11</f>
        <v>0</v>
      </c>
      <c r="F15" s="58">
        <f t="shared" si="0"/>
        <v>303991.875</v>
      </c>
    </row>
    <row r="16" spans="1:6" x14ac:dyDescent="0.35">
      <c r="A16" s="57" t="s">
        <v>49</v>
      </c>
      <c r="B16" s="54">
        <v>5</v>
      </c>
      <c r="C16" s="58">
        <f>(C6-C12-C13-C14-C15)*C11</f>
        <v>0</v>
      </c>
      <c r="D16" s="58">
        <f>(D6-D12-D13-D14-D15)*D11</f>
        <v>258393.09375</v>
      </c>
      <c r="E16" s="58">
        <f>(E6-E12-E13-E14-E15)*E11</f>
        <v>0</v>
      </c>
      <c r="F16" s="58">
        <f t="shared" si="0"/>
        <v>258393.09375</v>
      </c>
    </row>
    <row r="17" spans="1:6" x14ac:dyDescent="0.35">
      <c r="A17" s="57" t="s">
        <v>49</v>
      </c>
      <c r="B17" s="54">
        <v>6</v>
      </c>
      <c r="C17" s="58">
        <f>(C6-C12-C13-C14-C15-C16)*C11</f>
        <v>0</v>
      </c>
      <c r="D17" s="58">
        <f>(D6-D12-D13-D14-D15-D16)*D11</f>
        <v>219634.12968749998</v>
      </c>
      <c r="E17" s="58">
        <f>(E6-E12-E13-E14-E15-E16)*E11</f>
        <v>0</v>
      </c>
      <c r="F17" s="58">
        <f t="shared" si="0"/>
        <v>219634.12968749998</v>
      </c>
    </row>
    <row r="18" spans="1:6" x14ac:dyDescent="0.35">
      <c r="A18" s="57" t="s">
        <v>49</v>
      </c>
      <c r="B18" s="54">
        <v>7</v>
      </c>
      <c r="C18" s="58">
        <f>(C6-C12-C13-C14-C15-C16-C17)*C11</f>
        <v>0</v>
      </c>
      <c r="D18" s="58">
        <f>(D6-D12-D13-D14-D15-D16-D17)*D11</f>
        <v>186689.01023437499</v>
      </c>
      <c r="E18" s="58">
        <f>(E6-E12-E13-E14-E15-E16-E17)*E11</f>
        <v>0</v>
      </c>
      <c r="F18" s="58">
        <f t="shared" si="0"/>
        <v>186689.01023437499</v>
      </c>
    </row>
    <row r="19" spans="1:6" x14ac:dyDescent="0.35">
      <c r="A19" s="57" t="s">
        <v>49</v>
      </c>
      <c r="B19" s="54">
        <v>8</v>
      </c>
      <c r="C19" s="58">
        <f>(C6-C12-C13-C14-C15-C16-C17-C18)*C11</f>
        <v>0</v>
      </c>
      <c r="D19" s="58">
        <f>(D6-D12-D13-D14-D15-D16-D17-D18)*D11</f>
        <v>158685.65869921874</v>
      </c>
      <c r="E19" s="58">
        <f>(E6-E12-E13-E14-E15-E16-E17-E18)*E11</f>
        <v>0</v>
      </c>
      <c r="F19" s="58">
        <f t="shared" si="0"/>
        <v>158685.65869921874</v>
      </c>
    </row>
    <row r="20" spans="1:6" x14ac:dyDescent="0.35">
      <c r="A20" s="57" t="s">
        <v>49</v>
      </c>
      <c r="B20" s="54">
        <v>9</v>
      </c>
      <c r="C20" s="58">
        <f>(C6-C12-C13-C14-C15-C16-C17-C18-C19)*C11</f>
        <v>0</v>
      </c>
      <c r="D20" s="58">
        <f>(D6-D12-D13-D14-D15-D16-D17-D18-D19)*D11</f>
        <v>134882.80989433592</v>
      </c>
      <c r="E20" s="58">
        <f>(E6-E12-E13-E14-E15-E16-E17-E18-E19)*E11</f>
        <v>0</v>
      </c>
      <c r="F20" s="58">
        <f t="shared" si="0"/>
        <v>134882.80989433592</v>
      </c>
    </row>
    <row r="21" spans="1:6" x14ac:dyDescent="0.35">
      <c r="B21" s="1"/>
    </row>
    <row r="22" spans="1:6" x14ac:dyDescent="0.35">
      <c r="A22" s="18"/>
    </row>
  </sheetData>
  <mergeCells count="1">
    <mergeCell ref="B9:E9"/>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7" sqref="A7"/>
    </sheetView>
  </sheetViews>
  <sheetFormatPr defaultRowHeight="14.5" x14ac:dyDescent="0.35"/>
  <cols>
    <col min="1" max="1" width="20.90625" customWidth="1"/>
    <col min="2" max="10" width="13.6328125" bestFit="1" customWidth="1"/>
  </cols>
  <sheetData>
    <row r="1" spans="1:10" x14ac:dyDescent="0.35">
      <c r="A1" s="15" t="s">
        <v>83</v>
      </c>
    </row>
    <row r="3" spans="1:10" x14ac:dyDescent="0.35">
      <c r="A3" s="3" t="s">
        <v>84</v>
      </c>
    </row>
    <row r="5" spans="1:10" x14ac:dyDescent="0.35">
      <c r="A5" s="91" t="s">
        <v>3</v>
      </c>
      <c r="B5" s="91" t="s">
        <v>28</v>
      </c>
      <c r="C5" s="91"/>
      <c r="D5" s="91"/>
      <c r="E5" s="91"/>
      <c r="F5" s="91"/>
      <c r="G5" s="91"/>
      <c r="H5" s="91"/>
      <c r="I5" s="91"/>
      <c r="J5" s="91"/>
    </row>
    <row r="6" spans="1:10" x14ac:dyDescent="0.35">
      <c r="A6" s="91"/>
      <c r="B6" s="22" t="s">
        <v>19</v>
      </c>
      <c r="C6" s="22" t="s">
        <v>20</v>
      </c>
      <c r="D6" s="22" t="s">
        <v>21</v>
      </c>
      <c r="E6" s="22" t="s">
        <v>22</v>
      </c>
      <c r="F6" s="22" t="s">
        <v>23</v>
      </c>
      <c r="G6" s="22" t="s">
        <v>24</v>
      </c>
      <c r="H6" s="22" t="s">
        <v>25</v>
      </c>
      <c r="I6" s="22" t="s">
        <v>26</v>
      </c>
      <c r="J6" s="22" t="s">
        <v>27</v>
      </c>
    </row>
    <row r="7" spans="1:10" x14ac:dyDescent="0.35">
      <c r="A7" s="9" t="s">
        <v>85</v>
      </c>
      <c r="B7" s="19">
        <f>'Ann 4'!C24</f>
        <v>689910</v>
      </c>
      <c r="C7" s="19">
        <f>'Ann 4'!D24</f>
        <v>907710.00000000023</v>
      </c>
      <c r="D7" s="19">
        <f>'Ann 4'!E24</f>
        <v>999718.50000000023</v>
      </c>
      <c r="E7" s="19">
        <f>'Ann 4'!F24</f>
        <v>1090322.9250000003</v>
      </c>
      <c r="F7" s="19">
        <f>'Ann 4'!G24</f>
        <v>1179434.9212500001</v>
      </c>
      <c r="G7" s="19">
        <f>'Ann 4'!H24</f>
        <v>1186499.9023125002</v>
      </c>
      <c r="H7" s="19">
        <f>'Ann 4'!I24</f>
        <v>1192056.555928125</v>
      </c>
      <c r="I7" s="19">
        <f>'Ann 4'!J24</f>
        <v>1159636.3080745314</v>
      </c>
      <c r="J7" s="19">
        <f>'Ann 4'!K24</f>
        <v>1125302.7402632579</v>
      </c>
    </row>
    <row r="8" spans="1:10" x14ac:dyDescent="0.35">
      <c r="A8" s="9" t="s">
        <v>86</v>
      </c>
      <c r="B8" s="19">
        <v>0</v>
      </c>
      <c r="C8" s="19">
        <v>0</v>
      </c>
      <c r="D8" s="19">
        <v>0</v>
      </c>
      <c r="E8" s="19">
        <v>0</v>
      </c>
      <c r="F8" s="19">
        <v>0</v>
      </c>
      <c r="G8" s="19">
        <v>0</v>
      </c>
      <c r="H8" s="19">
        <v>0</v>
      </c>
      <c r="I8" s="19">
        <v>0</v>
      </c>
      <c r="J8" s="19">
        <v>0</v>
      </c>
    </row>
    <row r="9" spans="1:10" x14ac:dyDescent="0.35">
      <c r="A9" s="9" t="s">
        <v>87</v>
      </c>
      <c r="B9" s="19">
        <f>B7+B8</f>
        <v>689910</v>
      </c>
      <c r="C9" s="19">
        <f t="shared" ref="C9:J9" si="0">C7+C8</f>
        <v>907710.00000000023</v>
      </c>
      <c r="D9" s="19">
        <f t="shared" si="0"/>
        <v>999718.50000000023</v>
      </c>
      <c r="E9" s="19">
        <f t="shared" si="0"/>
        <v>1090322.9250000003</v>
      </c>
      <c r="F9" s="19">
        <f t="shared" si="0"/>
        <v>1179434.9212500001</v>
      </c>
      <c r="G9" s="19">
        <f t="shared" si="0"/>
        <v>1186499.9023125002</v>
      </c>
      <c r="H9" s="19">
        <f t="shared" si="0"/>
        <v>1192056.555928125</v>
      </c>
      <c r="I9" s="19">
        <f t="shared" si="0"/>
        <v>1159636.3080745314</v>
      </c>
      <c r="J9" s="19">
        <f t="shared" si="0"/>
        <v>1125302.7402632579</v>
      </c>
    </row>
    <row r="10" spans="1:10" x14ac:dyDescent="0.35">
      <c r="A10" s="9" t="s">
        <v>88</v>
      </c>
      <c r="B10" s="19">
        <f>SUM('Ann 9'!C12:E12)</f>
        <v>495000</v>
      </c>
      <c r="C10" s="19">
        <f>SUM('Ann 9'!C13:E13)</f>
        <v>420750</v>
      </c>
      <c r="D10" s="19">
        <f>SUM('Ann 9'!C14:E14)</f>
        <v>357637.5</v>
      </c>
      <c r="E10" s="19">
        <f>SUM('Ann 9'!C15:E15)</f>
        <v>303991.875</v>
      </c>
      <c r="F10" s="19">
        <f>SUM('Ann 9'!C16:E16)</f>
        <v>258393.09375</v>
      </c>
      <c r="G10" s="19">
        <f>SUM('Ann 9'!C17:E17)</f>
        <v>219634.12968749998</v>
      </c>
      <c r="H10" s="19">
        <f>SUM('Ann 9'!C18:E18)</f>
        <v>186689.01023437499</v>
      </c>
      <c r="I10" s="19">
        <f>SUM('Ann 9'!C19:E19)</f>
        <v>158685.65869921874</v>
      </c>
      <c r="J10" s="19">
        <f>SUM('Ann 9'!C20:E20)</f>
        <v>134882.80989433592</v>
      </c>
    </row>
    <row r="11" spans="1:10" x14ac:dyDescent="0.35">
      <c r="A11" s="9" t="s">
        <v>87</v>
      </c>
      <c r="B11" s="19">
        <f>B9-B10</f>
        <v>194910</v>
      </c>
      <c r="C11" s="19">
        <f t="shared" ref="C11:J11" si="1">C9-C10</f>
        <v>486960.00000000023</v>
      </c>
      <c r="D11" s="19">
        <f t="shared" si="1"/>
        <v>642081.00000000023</v>
      </c>
      <c r="E11" s="19">
        <f t="shared" si="1"/>
        <v>786331.05000000028</v>
      </c>
      <c r="F11" s="19">
        <f t="shared" si="1"/>
        <v>921041.82750000013</v>
      </c>
      <c r="G11" s="19">
        <f t="shared" si="1"/>
        <v>966865.77262500022</v>
      </c>
      <c r="H11" s="19">
        <f t="shared" si="1"/>
        <v>1005367.54569375</v>
      </c>
      <c r="I11" s="19">
        <f t="shared" si="1"/>
        <v>1000950.6493753126</v>
      </c>
      <c r="J11" s="19">
        <f t="shared" si="1"/>
        <v>990419.93036892195</v>
      </c>
    </row>
    <row r="12" spans="1:10" x14ac:dyDescent="0.35">
      <c r="A12" s="9" t="s">
        <v>89</v>
      </c>
      <c r="B12" s="38">
        <v>0</v>
      </c>
      <c r="C12" s="38">
        <v>0</v>
      </c>
      <c r="D12" s="38">
        <v>0</v>
      </c>
      <c r="E12" s="38">
        <v>0</v>
      </c>
      <c r="F12" s="38">
        <v>0</v>
      </c>
      <c r="G12" s="38">
        <v>0</v>
      </c>
      <c r="H12" s="38">
        <v>0</v>
      </c>
      <c r="I12" s="38">
        <v>0</v>
      </c>
      <c r="J12" s="38">
        <v>0</v>
      </c>
    </row>
    <row r="13" spans="1:10" x14ac:dyDescent="0.35">
      <c r="A13" s="9" t="s">
        <v>90</v>
      </c>
      <c r="B13" s="26">
        <f>B11</f>
        <v>194910</v>
      </c>
      <c r="C13" s="26">
        <f t="shared" ref="C13:J13" si="2">C11</f>
        <v>486960.00000000023</v>
      </c>
      <c r="D13" s="26">
        <f t="shared" si="2"/>
        <v>642081.00000000023</v>
      </c>
      <c r="E13" s="26">
        <f t="shared" si="2"/>
        <v>786331.05000000028</v>
      </c>
      <c r="F13" s="26">
        <f t="shared" si="2"/>
        <v>921041.82750000013</v>
      </c>
      <c r="G13" s="26">
        <f t="shared" si="2"/>
        <v>966865.77262500022</v>
      </c>
      <c r="H13" s="26">
        <f t="shared" si="2"/>
        <v>1005367.54569375</v>
      </c>
      <c r="I13" s="26">
        <f t="shared" si="2"/>
        <v>1000950.6493753126</v>
      </c>
      <c r="J13" s="26">
        <f t="shared" si="2"/>
        <v>990419.93036892195</v>
      </c>
    </row>
    <row r="14" spans="1:10" x14ac:dyDescent="0.35">
      <c r="A14" s="9" t="s">
        <v>91</v>
      </c>
      <c r="B14" s="26">
        <f>B13*30%</f>
        <v>58473</v>
      </c>
      <c r="C14" s="26">
        <f t="shared" ref="C14:J14" si="3">C13*30%</f>
        <v>146088.00000000006</v>
      </c>
      <c r="D14" s="26">
        <f t="shared" si="3"/>
        <v>192624.30000000008</v>
      </c>
      <c r="E14" s="26">
        <f t="shared" si="3"/>
        <v>235899.31500000006</v>
      </c>
      <c r="F14" s="26">
        <f t="shared" si="3"/>
        <v>276312.54825000005</v>
      </c>
      <c r="G14" s="26">
        <f t="shared" si="3"/>
        <v>290059.73178750003</v>
      </c>
      <c r="H14" s="26">
        <f t="shared" si="3"/>
        <v>301610.26370812498</v>
      </c>
      <c r="I14" s="26">
        <f t="shared" si="3"/>
        <v>300285.19481259375</v>
      </c>
      <c r="J14" s="26">
        <f t="shared" si="3"/>
        <v>297125.97911067656</v>
      </c>
    </row>
  </sheetData>
  <mergeCells count="2">
    <mergeCell ref="B5:J5"/>
    <mergeCell ref="A5:A6"/>
  </mergeCells>
  <pageMargins left="0.7" right="0.7" top="0.75" bottom="0.75" header="0.3" footer="0.3"/>
  <pageSetup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E19"/>
  <sheetViews>
    <sheetView workbookViewId="0">
      <selection activeCell="D17" sqref="D17"/>
    </sheetView>
  </sheetViews>
  <sheetFormatPr defaultRowHeight="14.5" x14ac:dyDescent="0.35"/>
  <cols>
    <col min="2" max="2" width="23.54296875" bestFit="1" customWidth="1"/>
    <col min="4" max="4" width="14.6328125" bestFit="1" customWidth="1"/>
    <col min="5" max="5" width="13.6328125" bestFit="1" customWidth="1"/>
    <col min="15" max="15" width="13.6328125" bestFit="1" customWidth="1"/>
    <col min="16" max="16" width="12.54296875" bestFit="1" customWidth="1"/>
  </cols>
  <sheetData>
    <row r="1" spans="1:5" x14ac:dyDescent="0.35">
      <c r="A1" s="15" t="s">
        <v>50</v>
      </c>
    </row>
    <row r="3" spans="1:5" x14ac:dyDescent="0.35">
      <c r="A3" s="3" t="s">
        <v>51</v>
      </c>
    </row>
    <row r="5" spans="1:5" x14ac:dyDescent="0.35">
      <c r="B5" t="s">
        <v>30</v>
      </c>
      <c r="E5" s="12">
        <f>Budgets!B16/80%</f>
        <v>1620000</v>
      </c>
    </row>
    <row r="6" spans="1:5" x14ac:dyDescent="0.35">
      <c r="B6" t="s">
        <v>52</v>
      </c>
      <c r="E6" s="13">
        <f>E5</f>
        <v>1620000</v>
      </c>
    </row>
    <row r="7" spans="1:5" x14ac:dyDescent="0.35">
      <c r="B7" t="s">
        <v>53</v>
      </c>
    </row>
    <row r="8" spans="1:5" x14ac:dyDescent="0.35">
      <c r="B8" t="s">
        <v>54</v>
      </c>
      <c r="E8" s="13">
        <f>'Ann 4'!C13</f>
        <v>390000</v>
      </c>
    </row>
    <row r="9" spans="1:5" x14ac:dyDescent="0.35">
      <c r="B9" t="s">
        <v>55</v>
      </c>
      <c r="E9" s="13">
        <f>SUM('Ann 9'!F12)</f>
        <v>495000</v>
      </c>
    </row>
    <row r="10" spans="1:5" x14ac:dyDescent="0.35">
      <c r="B10" t="s">
        <v>167</v>
      </c>
      <c r="E10" s="13">
        <f>SUM('Ann 13'!E10:E13)*100000</f>
        <v>176489.99999999997</v>
      </c>
    </row>
    <row r="11" spans="1:5" x14ac:dyDescent="0.35">
      <c r="B11" t="s">
        <v>56</v>
      </c>
      <c r="E11" s="13">
        <f>SUM(E8:E10)</f>
        <v>1061490</v>
      </c>
    </row>
    <row r="13" spans="1:5" x14ac:dyDescent="0.35">
      <c r="D13" t="s">
        <v>244</v>
      </c>
    </row>
    <row r="14" spans="1:5" x14ac:dyDescent="0.35">
      <c r="B14" t="s">
        <v>57</v>
      </c>
      <c r="D14">
        <v>3</v>
      </c>
    </row>
    <row r="15" spans="1:5" x14ac:dyDescent="0.35">
      <c r="B15" t="s">
        <v>164</v>
      </c>
      <c r="D15">
        <f>D14</f>
        <v>3</v>
      </c>
    </row>
    <row r="16" spans="1:5" x14ac:dyDescent="0.35">
      <c r="B16" t="s">
        <v>165</v>
      </c>
      <c r="D16" s="59">
        <f>E11/D15</f>
        <v>353830</v>
      </c>
    </row>
    <row r="17" spans="1:5" x14ac:dyDescent="0.35">
      <c r="B17" t="s">
        <v>166</v>
      </c>
      <c r="D17" s="28">
        <f>D16/Budgets!B9</f>
        <v>0.65524074074074079</v>
      </c>
    </row>
    <row r="18" spans="1:5" x14ac:dyDescent="0.35">
      <c r="D18" s="28"/>
    </row>
    <row r="19" spans="1:5" ht="56.5" customHeight="1" x14ac:dyDescent="0.35">
      <c r="A19" s="93" t="s">
        <v>243</v>
      </c>
      <c r="B19" s="93"/>
      <c r="C19" s="93"/>
      <c r="D19" s="93"/>
      <c r="E19" s="93"/>
    </row>
  </sheetData>
  <mergeCells count="1">
    <mergeCell ref="A19:E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Ann 1</vt:lpstr>
      <vt:lpstr>Ann 2</vt:lpstr>
      <vt:lpstr>Ann 4</vt:lpstr>
      <vt:lpstr>Ann 5</vt:lpstr>
      <vt:lpstr>Ann 8</vt:lpstr>
      <vt:lpstr>Ann 9</vt:lpstr>
      <vt:lpstr>Ann 10</vt:lpstr>
      <vt:lpstr>Ann 11</vt:lpstr>
      <vt:lpstr>Ann 12</vt:lpstr>
      <vt:lpstr>Ann 13</vt:lpstr>
      <vt:lpstr>For word file</vt:lpstr>
      <vt:lpstr>Cash flows</vt:lpstr>
      <vt:lpstr>Budgets</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2021-07-15T10:32:55Z</cp:lastPrinted>
  <dcterms:created xsi:type="dcterms:W3CDTF">2021-07-04T07:21:16Z</dcterms:created>
  <dcterms:modified xsi:type="dcterms:W3CDTF">2021-07-15T10:36:28Z</dcterms:modified>
</cp:coreProperties>
</file>