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odita Arya\Desktop\10 DPRs refined\6. Waxing plant\"/>
    </mc:Choice>
  </mc:AlternateContent>
  <xr:revisionPtr revIDLastSave="0" documentId="13_ncr:1_{71E4D52E-9B99-43D6-B234-F1D85F42EF13}" xr6:coauthVersionLast="47" xr6:coauthVersionMax="47" xr10:uidLastSave="{00000000-0000-0000-0000-000000000000}"/>
  <bookViews>
    <workbookView xWindow="-110" yWindow="-110" windowWidth="19420" windowHeight="11020" firstSheet="7" activeTab="13" xr2:uid="{8B0049CE-B79C-4EF0-8FA8-FBBF9BECEBD1}"/>
  </bookViews>
  <sheets>
    <sheet name="Contents" sheetId="21" r:id="rId1"/>
    <sheet name="Ann 1" sheetId="1" r:id="rId2"/>
    <sheet name="Ann 2" sheetId="2" r:id="rId3"/>
    <sheet name="Ann 3" sheetId="3" state="hidden" r:id="rId4"/>
    <sheet name="Ann 4" sheetId="4" r:id="rId5"/>
    <sheet name="Ann 5" sheetId="7" r:id="rId6"/>
    <sheet name="Ann 8" sheetId="9" r:id="rId7"/>
    <sheet name="Ann 9" sheetId="10" r:id="rId8"/>
    <sheet name="Ann 10" sheetId="13" r:id="rId9"/>
    <sheet name="Ann 11" sheetId="11" r:id="rId10"/>
    <sheet name="Ann 12" sheetId="12" state="hidden" r:id="rId11"/>
    <sheet name="Ann 13" sheetId="14" r:id="rId12"/>
    <sheet name="Budgets" sheetId="19" r:id="rId13"/>
    <sheet name="Cash flows" sheetId="18" r:id="rId14"/>
    <sheet name="For word file" sheetId="20" state="hidden" r:id="rId15"/>
    <sheet name="Assumptions" sheetId="22" r:id="rId16"/>
    <sheet name="Sheet1" sheetId="15" state="hidden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4" l="1"/>
  <c r="J33" i="4"/>
  <c r="K33" i="4"/>
  <c r="H33" i="4"/>
  <c r="H31" i="4"/>
  <c r="D5" i="14"/>
  <c r="C6" i="2" l="1"/>
  <c r="I34" i="7"/>
  <c r="J34" i="7"/>
  <c r="K34" i="7"/>
  <c r="E10" i="11"/>
  <c r="A12" i="21"/>
  <c r="A10" i="21"/>
  <c r="A9" i="21"/>
  <c r="D7" i="22"/>
  <c r="E6" i="22"/>
  <c r="E7" i="22" s="1"/>
  <c r="A8" i="21"/>
  <c r="B25" i="18"/>
  <c r="B26" i="18" s="1"/>
  <c r="C4" i="18"/>
  <c r="K47" i="7"/>
  <c r="J47" i="7"/>
  <c r="D23" i="7"/>
  <c r="E23" i="7"/>
  <c r="F23" i="7"/>
  <c r="G23" i="7"/>
  <c r="H23" i="7"/>
  <c r="I23" i="7"/>
  <c r="J23" i="7"/>
  <c r="K23" i="7"/>
  <c r="C23" i="7"/>
  <c r="D26" i="4"/>
  <c r="E26" i="4"/>
  <c r="F26" i="4"/>
  <c r="G26" i="4"/>
  <c r="H26" i="4"/>
  <c r="I26" i="4"/>
  <c r="J26" i="4"/>
  <c r="K26" i="4"/>
  <c r="C26" i="4"/>
  <c r="B12" i="19"/>
  <c r="C6" i="10"/>
  <c r="E8" i="9"/>
  <c r="A14" i="21"/>
  <c r="F6" i="22" l="1"/>
  <c r="F7" i="22" s="1"/>
  <c r="G6" i="22"/>
  <c r="A15" i="21"/>
  <c r="A13" i="21"/>
  <c r="A11" i="21"/>
  <c r="A7" i="21"/>
  <c r="A6" i="21"/>
  <c r="A5" i="21"/>
  <c r="A4" i="21"/>
  <c r="B6" i="18"/>
  <c r="D21" i="11"/>
  <c r="D20" i="11"/>
  <c r="D22" i="11" s="1"/>
  <c r="C22" i="18"/>
  <c r="K22" i="18"/>
  <c r="J22" i="18"/>
  <c r="I22" i="18"/>
  <c r="H22" i="18"/>
  <c r="G22" i="18"/>
  <c r="F22" i="18"/>
  <c r="E22" i="18"/>
  <c r="D22" i="18"/>
  <c r="G7" i="22" l="1"/>
  <c r="H6" i="22"/>
  <c r="C44" i="4"/>
  <c r="C8" i="4" s="1"/>
  <c r="G20" i="3"/>
  <c r="I41" i="7"/>
  <c r="J41" i="7"/>
  <c r="K41" i="7"/>
  <c r="H7" i="22" l="1"/>
  <c r="I6" i="22"/>
  <c r="D43" i="4"/>
  <c r="D44" i="4" s="1"/>
  <c r="D8" i="4" s="1"/>
  <c r="B13" i="19"/>
  <c r="B16" i="19" s="1"/>
  <c r="E9" i="11" s="1"/>
  <c r="I7" i="22" l="1"/>
  <c r="J6" i="22"/>
  <c r="D23" i="11"/>
  <c r="E43" i="4"/>
  <c r="E44" i="4" s="1"/>
  <c r="E8" i="4" s="1"/>
  <c r="B5" i="19"/>
  <c r="I5" i="19"/>
  <c r="J7" i="4" s="1"/>
  <c r="H5" i="19"/>
  <c r="I7" i="4" s="1"/>
  <c r="D5" i="19"/>
  <c r="E7" i="4" s="1"/>
  <c r="G5" i="19"/>
  <c r="H7" i="4" s="1"/>
  <c r="F5" i="19"/>
  <c r="G7" i="4" s="1"/>
  <c r="E5" i="19"/>
  <c r="F7" i="4" s="1"/>
  <c r="C5" i="19"/>
  <c r="D7" i="4" s="1"/>
  <c r="J5" i="19"/>
  <c r="K7" i="4" s="1"/>
  <c r="H24" i="7" l="1"/>
  <c r="H9" i="4"/>
  <c r="K9" i="4"/>
  <c r="K24" i="7"/>
  <c r="B7" i="19"/>
  <c r="C7" i="19" s="1"/>
  <c r="D7" i="19" s="1"/>
  <c r="E7" i="19" s="1"/>
  <c r="F7" i="19" s="1"/>
  <c r="G7" i="19" s="1"/>
  <c r="H7" i="19" s="1"/>
  <c r="I7" i="19" s="1"/>
  <c r="J7" i="19" s="1"/>
  <c r="C7" i="4"/>
  <c r="G24" i="7"/>
  <c r="G9" i="4"/>
  <c r="I9" i="4"/>
  <c r="I24" i="7"/>
  <c r="D9" i="4"/>
  <c r="D24" i="7"/>
  <c r="E24" i="7"/>
  <c r="E9" i="4"/>
  <c r="J9" i="4"/>
  <c r="J24" i="7"/>
  <c r="F9" i="4"/>
  <c r="F24" i="7"/>
  <c r="J7" i="22"/>
  <c r="K6" i="22"/>
  <c r="F43" i="4"/>
  <c r="F44" i="4" s="1"/>
  <c r="F8" i="4" s="1"/>
  <c r="G21" i="4"/>
  <c r="G13" i="7" s="1"/>
  <c r="F21" i="19"/>
  <c r="H21" i="4"/>
  <c r="H13" i="7" s="1"/>
  <c r="G21" i="19"/>
  <c r="D21" i="19"/>
  <c r="D6" i="19"/>
  <c r="E17" i="4" s="1"/>
  <c r="H21" i="19"/>
  <c r="J21" i="4"/>
  <c r="J13" i="7" s="1"/>
  <c r="I21" i="19"/>
  <c r="K21" i="4"/>
  <c r="K13" i="7" s="1"/>
  <c r="J21" i="19"/>
  <c r="B21" i="19"/>
  <c r="B22" i="19" s="1"/>
  <c r="B6" i="19"/>
  <c r="C17" i="4" s="1"/>
  <c r="F21" i="4"/>
  <c r="F13" i="7" s="1"/>
  <c r="E21" i="19"/>
  <c r="E6" i="19"/>
  <c r="F17" i="4" s="1"/>
  <c r="D21" i="4"/>
  <c r="C21" i="19"/>
  <c r="C6" i="19"/>
  <c r="D17" i="4" s="1"/>
  <c r="C21" i="4" l="1"/>
  <c r="C13" i="7" s="1"/>
  <c r="I21" i="4"/>
  <c r="I13" i="7" s="1"/>
  <c r="E21" i="4"/>
  <c r="C9" i="4"/>
  <c r="E7" i="11"/>
  <c r="E8" i="11" s="1"/>
  <c r="C24" i="7"/>
  <c r="K7" i="22"/>
  <c r="L6" i="22"/>
  <c r="L7" i="22" s="1"/>
  <c r="C3" i="20"/>
  <c r="D13" i="7"/>
  <c r="D3" i="20"/>
  <c r="E13" i="7"/>
  <c r="E8" i="18" s="1"/>
  <c r="I3" i="20"/>
  <c r="F5" i="11"/>
  <c r="B3" i="20"/>
  <c r="G3" i="20"/>
  <c r="H3" i="20"/>
  <c r="J3" i="20"/>
  <c r="F3" i="20"/>
  <c r="E3" i="20"/>
  <c r="G43" i="4"/>
  <c r="G44" i="4" s="1"/>
  <c r="G8" i="4" s="1"/>
  <c r="D23" i="19"/>
  <c r="E23" i="19"/>
  <c r="B23" i="19"/>
  <c r="B24" i="19" s="1"/>
  <c r="C12" i="4" s="1"/>
  <c r="C23" i="19"/>
  <c r="D8" i="18"/>
  <c r="C8" i="18"/>
  <c r="C23" i="18" s="1"/>
  <c r="H43" i="4" l="1"/>
  <c r="H44" i="4" s="1"/>
  <c r="H8" i="4" s="1"/>
  <c r="C20" i="19"/>
  <c r="C24" i="19" l="1"/>
  <c r="D12" i="4" s="1"/>
  <c r="C22" i="19"/>
  <c r="I43" i="4"/>
  <c r="D11" i="4"/>
  <c r="C12" i="7"/>
  <c r="I44" i="4" l="1"/>
  <c r="I8" i="4" s="1"/>
  <c r="J43" i="4"/>
  <c r="K43" i="4" s="1"/>
  <c r="E11" i="11" s="1"/>
  <c r="D25" i="11" s="1"/>
  <c r="D20" i="19"/>
  <c r="D24" i="19" s="1"/>
  <c r="E12" i="4" s="1"/>
  <c r="J44" i="4"/>
  <c r="J8" i="4" s="1"/>
  <c r="E11" i="4"/>
  <c r="D12" i="7"/>
  <c r="D22" i="19" l="1"/>
  <c r="E12" i="7"/>
  <c r="E20" i="19"/>
  <c r="E24" i="19"/>
  <c r="F12" i="4" s="1"/>
  <c r="E22" i="19"/>
  <c r="D13" i="14"/>
  <c r="C12" i="1"/>
  <c r="C35" i="1"/>
  <c r="C30" i="4" s="1"/>
  <c r="J27" i="4"/>
  <c r="K27" i="4"/>
  <c r="K12" i="18" s="1"/>
  <c r="D9" i="18"/>
  <c r="C47" i="7" l="1"/>
  <c r="F11" i="4"/>
  <c r="F20" i="19"/>
  <c r="K44" i="4"/>
  <c r="K8" i="4" s="1"/>
  <c r="D14" i="14"/>
  <c r="C18" i="18"/>
  <c r="G11" i="4"/>
  <c r="F12" i="7"/>
  <c r="J12" i="18"/>
  <c r="J46" i="7"/>
  <c r="K46" i="7"/>
  <c r="C29" i="7"/>
  <c r="E6" i="9"/>
  <c r="E17" i="9"/>
  <c r="D15" i="14" l="1"/>
  <c r="D16" i="14" s="1"/>
  <c r="D17" i="14" s="1"/>
  <c r="D18" i="14" s="1"/>
  <c r="D19" i="14" s="1"/>
  <c r="D47" i="7"/>
  <c r="F22" i="19"/>
  <c r="F6" i="19" s="1"/>
  <c r="G17" i="4" s="1"/>
  <c r="E9" i="18"/>
  <c r="D18" i="18" l="1"/>
  <c r="D20" i="14"/>
  <c r="D21" i="14" s="1"/>
  <c r="D22" i="14" s="1"/>
  <c r="D23" i="14" s="1"/>
  <c r="D24" i="14" s="1"/>
  <c r="D25" i="14" s="1"/>
  <c r="D26" i="14" s="1"/>
  <c r="E18" i="18"/>
  <c r="F23" i="19"/>
  <c r="F24" i="19" s="1"/>
  <c r="G12" i="4" s="1"/>
  <c r="C10" i="4"/>
  <c r="D10" i="4"/>
  <c r="D13" i="4" s="1"/>
  <c r="D29" i="7"/>
  <c r="F9" i="18"/>
  <c r="D4" i="14"/>
  <c r="E12" i="10"/>
  <c r="D26" i="11"/>
  <c r="J48" i="7"/>
  <c r="K48" i="7"/>
  <c r="C12" i="10"/>
  <c r="C20" i="1"/>
  <c r="D6" i="10" s="1"/>
  <c r="D12" i="10" s="1"/>
  <c r="D13" i="10" s="1"/>
  <c r="C16" i="1"/>
  <c r="F8" i="10"/>
  <c r="F7" i="10"/>
  <c r="E9" i="9"/>
  <c r="E7" i="9"/>
  <c r="C9" i="1"/>
  <c r="E47" i="7" l="1"/>
  <c r="F18" i="18"/>
  <c r="F47" i="7"/>
  <c r="G20" i="19"/>
  <c r="C11" i="14"/>
  <c r="E11" i="14" s="1"/>
  <c r="C39" i="1"/>
  <c r="C8" i="2" s="1"/>
  <c r="C9" i="7"/>
  <c r="F6" i="10"/>
  <c r="F12" i="10"/>
  <c r="F15" i="11" s="1"/>
  <c r="C32" i="4"/>
  <c r="C13" i="4"/>
  <c r="D10" i="18"/>
  <c r="C7" i="15"/>
  <c r="D27" i="14"/>
  <c r="E10" i="9"/>
  <c r="E12" i="9" s="1"/>
  <c r="E29" i="7"/>
  <c r="G9" i="18"/>
  <c r="E10" i="18"/>
  <c r="C10" i="7"/>
  <c r="B10" i="13"/>
  <c r="C13" i="10"/>
  <c r="C3" i="15"/>
  <c r="C10" i="14"/>
  <c r="E10" i="14" s="1"/>
  <c r="C12" i="14"/>
  <c r="E12" i="14" s="1"/>
  <c r="E13" i="10"/>
  <c r="K6" i="12"/>
  <c r="E5" i="12"/>
  <c r="H6" i="12"/>
  <c r="E6" i="12"/>
  <c r="D6" i="12"/>
  <c r="F6" i="12"/>
  <c r="F5" i="12"/>
  <c r="G5" i="12"/>
  <c r="I6" i="12"/>
  <c r="D14" i="10"/>
  <c r="G22" i="19" l="1"/>
  <c r="G6" i="19" s="1"/>
  <c r="H17" i="4" s="1"/>
  <c r="H11" i="4"/>
  <c r="G12" i="7"/>
  <c r="F9" i="10"/>
  <c r="B7" i="18"/>
  <c r="F13" i="10"/>
  <c r="C11" i="7"/>
  <c r="D9" i="7" s="1"/>
  <c r="E10" i="4"/>
  <c r="E13" i="4" s="1"/>
  <c r="D28" i="14"/>
  <c r="C13" i="14"/>
  <c r="E13" i="14" s="1"/>
  <c r="E13" i="9"/>
  <c r="F29" i="7"/>
  <c r="F3" i="15"/>
  <c r="F10" i="18"/>
  <c r="H9" i="18"/>
  <c r="C14" i="10"/>
  <c r="F14" i="10" s="1"/>
  <c r="C10" i="13"/>
  <c r="D32" i="4"/>
  <c r="D10" i="7"/>
  <c r="E3" i="15"/>
  <c r="D3" i="15"/>
  <c r="E14" i="10"/>
  <c r="H5" i="12"/>
  <c r="J5" i="12"/>
  <c r="C6" i="12"/>
  <c r="J6" i="12"/>
  <c r="D5" i="12"/>
  <c r="I5" i="12"/>
  <c r="C5" i="12"/>
  <c r="G6" i="12"/>
  <c r="K5" i="12"/>
  <c r="D15" i="10"/>
  <c r="D16" i="10" s="1"/>
  <c r="D17" i="10" s="1"/>
  <c r="G23" i="19" l="1"/>
  <c r="G24" i="19" s="1"/>
  <c r="H12" i="4" s="1"/>
  <c r="E15" i="9"/>
  <c r="C16" i="4"/>
  <c r="F16" i="11"/>
  <c r="C18" i="7"/>
  <c r="B5" i="18" s="1"/>
  <c r="C40" i="7"/>
  <c r="F10" i="4"/>
  <c r="F13" i="4" s="1"/>
  <c r="D29" i="14"/>
  <c r="C14" i="14"/>
  <c r="E14" i="14" s="1"/>
  <c r="G29" i="7"/>
  <c r="I9" i="18"/>
  <c r="G10" i="18"/>
  <c r="D11" i="7"/>
  <c r="D40" i="7" s="1"/>
  <c r="E32" i="4"/>
  <c r="E10" i="7"/>
  <c r="D10" i="13"/>
  <c r="C15" i="10"/>
  <c r="E15" i="10"/>
  <c r="D18" i="10"/>
  <c r="G47" i="7" l="1"/>
  <c r="C24" i="18"/>
  <c r="B23" i="18"/>
  <c r="F14" i="11"/>
  <c r="D16" i="4"/>
  <c r="E16" i="4" s="1"/>
  <c r="F16" i="4" s="1"/>
  <c r="G16" i="4" s="1"/>
  <c r="H16" i="4" s="1"/>
  <c r="I16" i="4" s="1"/>
  <c r="J16" i="4" s="1"/>
  <c r="K16" i="4" s="1"/>
  <c r="H20" i="19"/>
  <c r="H22" i="19" s="1"/>
  <c r="H6" i="19" s="1"/>
  <c r="I17" i="4" s="1"/>
  <c r="C18" i="4"/>
  <c r="C11" i="18" s="1"/>
  <c r="F15" i="10"/>
  <c r="C25" i="4"/>
  <c r="C27" i="4" s="1"/>
  <c r="G10" i="4"/>
  <c r="G13" i="4" s="1"/>
  <c r="D30" i="14"/>
  <c r="G18" i="18"/>
  <c r="C22" i="7"/>
  <c r="C15" i="14"/>
  <c r="E15" i="14" s="1"/>
  <c r="F8" i="18"/>
  <c r="H29" i="7"/>
  <c r="H10" i="18"/>
  <c r="G3" i="15"/>
  <c r="J9" i="18"/>
  <c r="E9" i="7"/>
  <c r="E11" i="7" s="1"/>
  <c r="E40" i="7" s="1"/>
  <c r="F10" i="7"/>
  <c r="E10" i="13"/>
  <c r="F32" i="4"/>
  <c r="C16" i="10"/>
  <c r="C17" i="10" s="1"/>
  <c r="E16" i="10"/>
  <c r="D19" i="10"/>
  <c r="D20" i="10" s="1"/>
  <c r="B28" i="18" l="1"/>
  <c r="B24" i="18"/>
  <c r="B29" i="18" s="1"/>
  <c r="C41" i="7"/>
  <c r="C34" i="7"/>
  <c r="H23" i="19"/>
  <c r="H24" i="19" s="1"/>
  <c r="I12" i="4" s="1"/>
  <c r="I11" i="4"/>
  <c r="H12" i="7"/>
  <c r="C20" i="4"/>
  <c r="C22" i="4" s="1"/>
  <c r="C49" i="7" s="1"/>
  <c r="D18" i="4"/>
  <c r="D11" i="18" s="1"/>
  <c r="F16" i="10"/>
  <c r="C46" i="7"/>
  <c r="C48" i="7" s="1"/>
  <c r="C12" i="18"/>
  <c r="C13" i="18" s="1"/>
  <c r="E18" i="4"/>
  <c r="H10" i="4"/>
  <c r="H13" i="4" s="1"/>
  <c r="D33" i="14"/>
  <c r="D34" i="14" s="1"/>
  <c r="C42" i="7"/>
  <c r="C16" i="14"/>
  <c r="E16" i="14" s="1"/>
  <c r="G8" i="18"/>
  <c r="I29" i="7"/>
  <c r="K9" i="18"/>
  <c r="I10" i="18"/>
  <c r="H3" i="15"/>
  <c r="F9" i="7"/>
  <c r="F11" i="7" s="1"/>
  <c r="F40" i="7" s="1"/>
  <c r="G10" i="7"/>
  <c r="F10" i="13"/>
  <c r="G32" i="4"/>
  <c r="C18" i="10"/>
  <c r="E17" i="10"/>
  <c r="H32" i="4" s="1"/>
  <c r="D35" i="14" l="1"/>
  <c r="D36" i="14" s="1"/>
  <c r="H47" i="7"/>
  <c r="H18" i="18"/>
  <c r="D20" i="4"/>
  <c r="D22" i="4" s="1"/>
  <c r="D49" i="7" s="1"/>
  <c r="I20" i="19"/>
  <c r="I22" i="19" s="1"/>
  <c r="I6" i="19" s="1"/>
  <c r="J17" i="4" s="1"/>
  <c r="B4" i="20"/>
  <c r="B5" i="20" s="1"/>
  <c r="B6" i="20" s="1"/>
  <c r="C29" i="4"/>
  <c r="F17" i="10"/>
  <c r="C50" i="7"/>
  <c r="F18" i="4"/>
  <c r="E11" i="18"/>
  <c r="E20" i="4"/>
  <c r="I10" i="4"/>
  <c r="C17" i="14"/>
  <c r="E17" i="14" s="1"/>
  <c r="H8" i="18"/>
  <c r="K29" i="7"/>
  <c r="J29" i="7"/>
  <c r="J10" i="18"/>
  <c r="I3" i="15"/>
  <c r="G9" i="7"/>
  <c r="G11" i="7" s="1"/>
  <c r="H10" i="7"/>
  <c r="G10" i="13"/>
  <c r="C19" i="10"/>
  <c r="E18" i="10"/>
  <c r="E19" i="10" s="1"/>
  <c r="I47" i="7" l="1"/>
  <c r="C33" i="4"/>
  <c r="B7" i="20" s="1"/>
  <c r="C4" i="20"/>
  <c r="C5" i="20" s="1"/>
  <c r="C6" i="20" s="1"/>
  <c r="I23" i="19"/>
  <c r="I24" i="19" s="1"/>
  <c r="J12" i="4" s="1"/>
  <c r="I12" i="7"/>
  <c r="J11" i="4"/>
  <c r="I13" i="4"/>
  <c r="B7" i="13"/>
  <c r="B9" i="13" s="1"/>
  <c r="B11" i="13" s="1"/>
  <c r="B13" i="13" s="1"/>
  <c r="B14" i="13" s="1"/>
  <c r="C34" i="4" s="1"/>
  <c r="C14" i="18" s="1"/>
  <c r="F18" i="10"/>
  <c r="E22" i="4"/>
  <c r="E49" i="7" s="1"/>
  <c r="D4" i="20"/>
  <c r="C20" i="10"/>
  <c r="F19" i="10"/>
  <c r="F11" i="11"/>
  <c r="F12" i="11" s="1"/>
  <c r="G18" i="4"/>
  <c r="F11" i="18"/>
  <c r="F20" i="4"/>
  <c r="J10" i="4"/>
  <c r="K10" i="4"/>
  <c r="C18" i="14"/>
  <c r="E18" i="14" s="1"/>
  <c r="D25" i="4"/>
  <c r="D27" i="4" s="1"/>
  <c r="I8" i="18"/>
  <c r="K10" i="18"/>
  <c r="G40" i="7"/>
  <c r="H9" i="7"/>
  <c r="H11" i="7" s="1"/>
  <c r="I10" i="7"/>
  <c r="I32" i="4"/>
  <c r="H10" i="13"/>
  <c r="I10" i="13"/>
  <c r="J10" i="7"/>
  <c r="J32" i="4"/>
  <c r="E20" i="10"/>
  <c r="C15" i="18" l="1"/>
  <c r="J20" i="19"/>
  <c r="J22" i="19" s="1"/>
  <c r="J6" i="19" s="1"/>
  <c r="K17" i="4" s="1"/>
  <c r="C35" i="4"/>
  <c r="C36" i="4" s="1"/>
  <c r="F20" i="10"/>
  <c r="F22" i="4"/>
  <c r="F49" i="7" s="1"/>
  <c r="E4" i="20"/>
  <c r="E5" i="20" s="1"/>
  <c r="E6" i="20" s="1"/>
  <c r="D5" i="20"/>
  <c r="D6" i="20" s="1"/>
  <c r="K32" i="4"/>
  <c r="J10" i="13"/>
  <c r="G11" i="18"/>
  <c r="G20" i="4"/>
  <c r="F4" i="20" s="1"/>
  <c r="F5" i="20" s="1"/>
  <c r="F6" i="20" s="1"/>
  <c r="H18" i="4"/>
  <c r="D29" i="4"/>
  <c r="D33" i="4" s="1"/>
  <c r="D12" i="18"/>
  <c r="D46" i="7"/>
  <c r="D48" i="7" s="1"/>
  <c r="D50" i="7" s="1"/>
  <c r="D22" i="7"/>
  <c r="C19" i="14"/>
  <c r="E19" i="14" s="1"/>
  <c r="J8" i="18"/>
  <c r="K8" i="18"/>
  <c r="H40" i="7"/>
  <c r="I9" i="7"/>
  <c r="I11" i="7" s="1"/>
  <c r="J9" i="7" s="1"/>
  <c r="J11" i="7" s="1"/>
  <c r="K10" i="7"/>
  <c r="D41" i="7" l="1"/>
  <c r="D34" i="7"/>
  <c r="C16" i="18"/>
  <c r="C25" i="18" s="1"/>
  <c r="J12" i="7"/>
  <c r="K11" i="4"/>
  <c r="J13" i="4"/>
  <c r="J23" i="19"/>
  <c r="J24" i="19" s="1"/>
  <c r="K12" i="4" s="1"/>
  <c r="B8" i="20"/>
  <c r="C7" i="20"/>
  <c r="F17" i="11"/>
  <c r="D27" i="11" s="1"/>
  <c r="D28" i="11" s="1"/>
  <c r="C37" i="4"/>
  <c r="C19" i="7" s="1"/>
  <c r="C21" i="7" s="1"/>
  <c r="C25" i="7" s="1"/>
  <c r="H11" i="18"/>
  <c r="H20" i="4"/>
  <c r="G4" i="20" s="1"/>
  <c r="G5" i="20" s="1"/>
  <c r="G6" i="20" s="1"/>
  <c r="I18" i="4"/>
  <c r="C20" i="14"/>
  <c r="E20" i="14" s="1"/>
  <c r="D42" i="7"/>
  <c r="C7" i="13"/>
  <c r="C9" i="13" s="1"/>
  <c r="C11" i="13" s="1"/>
  <c r="C13" i="13" s="1"/>
  <c r="C14" i="13" s="1"/>
  <c r="D34" i="4" s="1"/>
  <c r="D14" i="18" s="1"/>
  <c r="I40" i="7"/>
  <c r="I42" i="7" s="1"/>
  <c r="J40" i="7"/>
  <c r="J42" i="7" s="1"/>
  <c r="K9" i="7"/>
  <c r="K11" i="7" s="1"/>
  <c r="K40" i="7" s="1"/>
  <c r="K42" i="7" s="1"/>
  <c r="G22" i="4"/>
  <c r="G49" i="7" s="1"/>
  <c r="C17" i="18" l="1"/>
  <c r="C19" i="18" s="1"/>
  <c r="C14" i="7" s="1"/>
  <c r="C15" i="7" s="1"/>
  <c r="C26" i="18"/>
  <c r="K13" i="4"/>
  <c r="C35" i="7"/>
  <c r="C36" i="7" s="1"/>
  <c r="D18" i="7"/>
  <c r="K18" i="4"/>
  <c r="J18" i="4"/>
  <c r="I11" i="18"/>
  <c r="I20" i="4"/>
  <c r="H4" i="20" s="1"/>
  <c r="H5" i="20" s="1"/>
  <c r="H6" i="20" s="1"/>
  <c r="I18" i="18"/>
  <c r="D35" i="4"/>
  <c r="D36" i="4" s="1"/>
  <c r="C21" i="14"/>
  <c r="E21" i="14" s="1"/>
  <c r="C28" i="7" l="1"/>
  <c r="C30" i="7" s="1"/>
  <c r="D4" i="18"/>
  <c r="D23" i="18" s="1"/>
  <c r="C28" i="18"/>
  <c r="C29" i="18" s="1"/>
  <c r="C8" i="20"/>
  <c r="D16" i="18"/>
  <c r="D25" i="18" s="1"/>
  <c r="K12" i="7"/>
  <c r="J11" i="18"/>
  <c r="J20" i="4"/>
  <c r="I4" i="20" s="1"/>
  <c r="I5" i="20" s="1"/>
  <c r="I6" i="20" s="1"/>
  <c r="K11" i="18"/>
  <c r="K20" i="4"/>
  <c r="J4" i="20" s="1"/>
  <c r="J5" i="20" s="1"/>
  <c r="J6" i="20" s="1"/>
  <c r="E25" i="4"/>
  <c r="E27" i="4" s="1"/>
  <c r="C22" i="14"/>
  <c r="E22" i="14" s="1"/>
  <c r="H22" i="4"/>
  <c r="H49" i="7" s="1"/>
  <c r="D13" i="18" l="1"/>
  <c r="D15" i="18" s="1"/>
  <c r="D17" i="18" s="1"/>
  <c r="D19" i="18" s="1"/>
  <c r="D14" i="7" s="1"/>
  <c r="D28" i="7" s="1"/>
  <c r="D30" i="7" s="1"/>
  <c r="D24" i="18"/>
  <c r="D26" i="18"/>
  <c r="D37" i="4"/>
  <c r="D19" i="7" s="1"/>
  <c r="D21" i="7" s="1"/>
  <c r="E18" i="7" s="1"/>
  <c r="E22" i="7"/>
  <c r="C23" i="14"/>
  <c r="E23" i="14" s="1"/>
  <c r="E46" i="7"/>
  <c r="E48" i="7" s="1"/>
  <c r="E50" i="7" s="1"/>
  <c r="E12" i="18"/>
  <c r="E29" i="4"/>
  <c r="E33" i="4" s="1"/>
  <c r="E41" i="7" l="1"/>
  <c r="E42" i="7" s="1"/>
  <c r="E34" i="7"/>
  <c r="D28" i="18"/>
  <c r="D29" i="18" s="1"/>
  <c r="D7" i="20"/>
  <c r="D15" i="7"/>
  <c r="E4" i="18"/>
  <c r="D25" i="7"/>
  <c r="D35" i="7"/>
  <c r="D36" i="7" s="1"/>
  <c r="D7" i="13"/>
  <c r="D9" i="13" s="1"/>
  <c r="D11" i="13" s="1"/>
  <c r="D13" i="13" s="1"/>
  <c r="D14" i="13" s="1"/>
  <c r="E34" i="4" s="1"/>
  <c r="E14" i="18" s="1"/>
  <c r="C24" i="14"/>
  <c r="E24" i="14" s="1"/>
  <c r="I22" i="4"/>
  <c r="I49" i="7" s="1"/>
  <c r="E23" i="18" l="1"/>
  <c r="E13" i="18"/>
  <c r="E15" i="18" s="1"/>
  <c r="E35" i="4"/>
  <c r="E36" i="4" s="1"/>
  <c r="C25" i="14"/>
  <c r="E25" i="14" s="1"/>
  <c r="E24" i="18" l="1"/>
  <c r="E16" i="18"/>
  <c r="D8" i="20"/>
  <c r="F25" i="4"/>
  <c r="F27" i="4" s="1"/>
  <c r="C26" i="14"/>
  <c r="E26" i="14" s="1"/>
  <c r="E25" i="18" l="1"/>
  <c r="E26" i="18" s="1"/>
  <c r="E37" i="4"/>
  <c r="E19" i="7" s="1"/>
  <c r="E21" i="7" s="1"/>
  <c r="E35" i="7" s="1"/>
  <c r="E36" i="7" s="1"/>
  <c r="E17" i="18"/>
  <c r="E19" i="18" s="1"/>
  <c r="F4" i="18" s="1"/>
  <c r="F22" i="7"/>
  <c r="C27" i="14"/>
  <c r="E27" i="14" s="1"/>
  <c r="F46" i="7"/>
  <c r="F48" i="7" s="1"/>
  <c r="F50" i="7" s="1"/>
  <c r="F12" i="18"/>
  <c r="F29" i="4"/>
  <c r="F33" i="4" s="1"/>
  <c r="J22" i="4"/>
  <c r="J3" i="15"/>
  <c r="K3" i="15"/>
  <c r="F41" i="7" l="1"/>
  <c r="F42" i="7" s="1"/>
  <c r="F34" i="7"/>
  <c r="E28" i="18"/>
  <c r="E29" i="18" s="1"/>
  <c r="F23" i="18"/>
  <c r="F13" i="18"/>
  <c r="E7" i="20"/>
  <c r="F18" i="7"/>
  <c r="E25" i="7"/>
  <c r="E14" i="7"/>
  <c r="E15" i="7" s="1"/>
  <c r="E7" i="13"/>
  <c r="E9" i="13" s="1"/>
  <c r="E11" i="13" s="1"/>
  <c r="E13" i="13" s="1"/>
  <c r="E14" i="13" s="1"/>
  <c r="F34" i="4" s="1"/>
  <c r="F14" i="18" s="1"/>
  <c r="C28" i="14"/>
  <c r="E28" i="14" s="1"/>
  <c r="J29" i="4"/>
  <c r="J49" i="7"/>
  <c r="J50" i="7" s="1"/>
  <c r="K22" i="4"/>
  <c r="F24" i="18" l="1"/>
  <c r="E28" i="7"/>
  <c r="E30" i="7" s="1"/>
  <c r="I7" i="20"/>
  <c r="F15" i="18"/>
  <c r="C29" i="14"/>
  <c r="E29" i="14" s="1"/>
  <c r="F35" i="4"/>
  <c r="F36" i="4" s="1"/>
  <c r="I7" i="13"/>
  <c r="I9" i="13" s="1"/>
  <c r="I11" i="13" s="1"/>
  <c r="I13" i="13" s="1"/>
  <c r="I14" i="13" s="1"/>
  <c r="J34" i="4" s="1"/>
  <c r="J14" i="18" s="1"/>
  <c r="K29" i="4"/>
  <c r="K49" i="7"/>
  <c r="K50" i="7" s="1"/>
  <c r="E8" i="20" l="1"/>
  <c r="F16" i="18"/>
  <c r="F25" i="18" s="1"/>
  <c r="J7" i="20"/>
  <c r="G25" i="4"/>
  <c r="G27" i="4" s="1"/>
  <c r="G22" i="7"/>
  <c r="C30" i="14"/>
  <c r="E30" i="14" s="1"/>
  <c r="J35" i="4"/>
  <c r="J36" i="4" s="1"/>
  <c r="J7" i="13"/>
  <c r="J9" i="13" s="1"/>
  <c r="J11" i="13" s="1"/>
  <c r="J13" i="13" s="1"/>
  <c r="J14" i="13" s="1"/>
  <c r="K34" i="4" s="1"/>
  <c r="G41" i="7" l="1"/>
  <c r="G34" i="7"/>
  <c r="J37" i="4"/>
  <c r="J19" i="7" s="1"/>
  <c r="I8" i="20"/>
  <c r="F17" i="18"/>
  <c r="F19" i="18" s="1"/>
  <c r="F14" i="7" s="1"/>
  <c r="F37" i="4"/>
  <c r="F19" i="7" s="1"/>
  <c r="F21" i="7" s="1"/>
  <c r="F25" i="7" s="1"/>
  <c r="G12" i="18"/>
  <c r="G46" i="7"/>
  <c r="G48" i="7" s="1"/>
  <c r="G50" i="7" s="1"/>
  <c r="F51" i="7" s="1"/>
  <c r="G29" i="4"/>
  <c r="G33" i="4" s="1"/>
  <c r="G42" i="7"/>
  <c r="C31" i="14"/>
  <c r="E31" i="14" s="1"/>
  <c r="K35" i="4"/>
  <c r="K36" i="4" s="1"/>
  <c r="K14" i="18"/>
  <c r="J16" i="18" l="1"/>
  <c r="F26" i="18"/>
  <c r="F28" i="18"/>
  <c r="F29" i="18" s="1"/>
  <c r="F7" i="20"/>
  <c r="K37" i="4"/>
  <c r="K19" i="7" s="1"/>
  <c r="J8" i="20"/>
  <c r="G4" i="18"/>
  <c r="F35" i="7"/>
  <c r="F36" i="7" s="1"/>
  <c r="G18" i="7"/>
  <c r="F15" i="7"/>
  <c r="F28" i="7"/>
  <c r="F30" i="7" s="1"/>
  <c r="F7" i="13"/>
  <c r="F9" i="13" s="1"/>
  <c r="F11" i="13" s="1"/>
  <c r="F13" i="13" s="1"/>
  <c r="F14" i="13" s="1"/>
  <c r="G34" i="4" s="1"/>
  <c r="G14" i="18" s="1"/>
  <c r="C32" i="14"/>
  <c r="J25" i="18" l="1"/>
  <c r="J26" i="18" s="1"/>
  <c r="C34" i="14"/>
  <c r="C35" i="14" s="1"/>
  <c r="C36" i="14" s="1"/>
  <c r="C37" i="14" s="1"/>
  <c r="G23" i="18"/>
  <c r="G13" i="18"/>
  <c r="G15" i="18" s="1"/>
  <c r="K16" i="18"/>
  <c r="G35" i="4"/>
  <c r="G36" i="4" s="1"/>
  <c r="K25" i="18" l="1"/>
  <c r="K26" i="18" s="1"/>
  <c r="F8" i="20"/>
  <c r="G16" i="18"/>
  <c r="G25" i="18" s="1"/>
  <c r="G24" i="18"/>
  <c r="E33" i="14"/>
  <c r="H25" i="4" s="1"/>
  <c r="H27" i="4" s="1"/>
  <c r="H22" i="7"/>
  <c r="E34" i="14"/>
  <c r="H41" i="7" l="1"/>
  <c r="H34" i="7"/>
  <c r="G17" i="18"/>
  <c r="G19" i="18" s="1"/>
  <c r="G14" i="7" s="1"/>
  <c r="G37" i="4"/>
  <c r="G19" i="7" s="1"/>
  <c r="G21" i="7" s="1"/>
  <c r="G25" i="7" s="1"/>
  <c r="H46" i="7"/>
  <c r="H48" i="7" s="1"/>
  <c r="H50" i="7" s="1"/>
  <c r="H29" i="4"/>
  <c r="H12" i="18"/>
  <c r="E35" i="14"/>
  <c r="H42" i="7"/>
  <c r="F43" i="7" s="1"/>
  <c r="G26" i="18" l="1"/>
  <c r="G28" i="18"/>
  <c r="G29" i="18" s="1"/>
  <c r="G7" i="20"/>
  <c r="H4" i="18"/>
  <c r="G35" i="7"/>
  <c r="G36" i="7" s="1"/>
  <c r="H18" i="7"/>
  <c r="E36" i="14"/>
  <c r="G28" i="7"/>
  <c r="G30" i="7" s="1"/>
  <c r="G15" i="7"/>
  <c r="G7" i="13"/>
  <c r="G9" i="13" s="1"/>
  <c r="G11" i="13" s="1"/>
  <c r="G13" i="13" s="1"/>
  <c r="G14" i="13" s="1"/>
  <c r="H34" i="4" s="1"/>
  <c r="H14" i="18" s="1"/>
  <c r="H23" i="18" l="1"/>
  <c r="H13" i="18"/>
  <c r="H15" i="18" s="1"/>
  <c r="H35" i="4"/>
  <c r="H36" i="4" s="1"/>
  <c r="E37" i="14"/>
  <c r="G8" i="20" l="1"/>
  <c r="H16" i="18"/>
  <c r="H25" i="18" s="1"/>
  <c r="H24" i="18"/>
  <c r="I25" i="4"/>
  <c r="I27" i="4" s="1"/>
  <c r="H17" i="18" l="1"/>
  <c r="H19" i="18" s="1"/>
  <c r="I4" i="18" s="1"/>
  <c r="H37" i="4"/>
  <c r="H19" i="7" s="1"/>
  <c r="H21" i="7" s="1"/>
  <c r="H35" i="7" s="1"/>
  <c r="H36" i="7" s="1"/>
  <c r="I29" i="4"/>
  <c r="I12" i="18"/>
  <c r="I46" i="7"/>
  <c r="I48" i="7" s="1"/>
  <c r="I50" i="7" s="1"/>
  <c r="H26" i="18" l="1"/>
  <c r="H28" i="18"/>
  <c r="H29" i="18" s="1"/>
  <c r="I23" i="18"/>
  <c r="I13" i="18"/>
  <c r="H7" i="20"/>
  <c r="H14" i="7"/>
  <c r="H15" i="7" s="1"/>
  <c r="H25" i="7"/>
  <c r="I18" i="7"/>
  <c r="H7" i="13"/>
  <c r="H9" i="13" s="1"/>
  <c r="H11" i="13" s="1"/>
  <c r="H13" i="13" s="1"/>
  <c r="H14" i="13" s="1"/>
  <c r="I34" i="4" s="1"/>
  <c r="I14" i="18" s="1"/>
  <c r="I24" i="18" l="1"/>
  <c r="H28" i="7"/>
  <c r="H30" i="7" s="1"/>
  <c r="I15" i="18"/>
  <c r="I35" i="4"/>
  <c r="I36" i="4" s="1"/>
  <c r="H8" i="20" l="1"/>
  <c r="I16" i="18"/>
  <c r="I25" i="18" s="1"/>
  <c r="I17" i="18" l="1"/>
  <c r="I19" i="18" s="1"/>
  <c r="I14" i="7" s="1"/>
  <c r="I37" i="4"/>
  <c r="I19" i="7" s="1"/>
  <c r="I21" i="7" s="1"/>
  <c r="I25" i="7" s="1"/>
  <c r="I26" i="18" l="1"/>
  <c r="I28" i="18"/>
  <c r="I29" i="18" s="1"/>
  <c r="J4" i="18"/>
  <c r="I35" i="7"/>
  <c r="I36" i="7" s="1"/>
  <c r="J18" i="7"/>
  <c r="J21" i="7" s="1"/>
  <c r="K18" i="7" s="1"/>
  <c r="K21" i="7" s="1"/>
  <c r="I15" i="7"/>
  <c r="I28" i="7"/>
  <c r="I30" i="7" s="1"/>
  <c r="J13" i="18" l="1"/>
  <c r="J15" i="18" s="1"/>
  <c r="J17" i="18" s="1"/>
  <c r="J19" i="18" s="1"/>
  <c r="J23" i="18"/>
  <c r="J28" i="18" s="1"/>
  <c r="J29" i="18" s="1"/>
  <c r="J25" i="7"/>
  <c r="J35" i="7"/>
  <c r="J36" i="7" s="1"/>
  <c r="K35" i="7"/>
  <c r="K36" i="7" s="1"/>
  <c r="K25" i="7"/>
  <c r="K4" i="18" l="1"/>
  <c r="J14" i="7"/>
  <c r="J28" i="7" s="1"/>
  <c r="J30" i="7" s="1"/>
  <c r="F37" i="7"/>
  <c r="J24" i="18"/>
  <c r="J15" i="7" l="1"/>
  <c r="K13" i="18"/>
  <c r="K15" i="18" s="1"/>
  <c r="K17" i="18" s="1"/>
  <c r="K19" i="18" s="1"/>
  <c r="K14" i="7" s="1"/>
  <c r="K23" i="18"/>
  <c r="K28" i="18" s="1"/>
  <c r="K29" i="18" s="1"/>
  <c r="K24" i="18" l="1"/>
  <c r="L29" i="18" s="1"/>
  <c r="K15" i="7"/>
  <c r="K28" i="7"/>
  <c r="K30" i="7" s="1"/>
  <c r="F31" i="7" s="1"/>
</calcChain>
</file>

<file path=xl/sharedStrings.xml><?xml version="1.0" encoding="utf-8"?>
<sst xmlns="http://schemas.openxmlformats.org/spreadsheetml/2006/main" count="420" uniqueCount="303">
  <si>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</si>
  <si>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</si>
  <si>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</si>
  <si>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</si>
  <si>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</si>
  <si>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</si>
  <si>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</si>
  <si>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</si>
  <si>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</si>
  <si>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</si>
  <si>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</si>
  <si>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</si>
  <si>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</si>
  <si>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</si>
  <si>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</si>
  <si>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</si>
  <si>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</si>
  <si>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</si>
  <si>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</si>
  <si>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</si>
  <si>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</si>
  <si>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</si>
  <si>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</si>
  <si>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</si>
  <si>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</si>
  <si>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</si>
  <si>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</si>
  <si>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</si>
  <si>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</si>
  <si>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</si>
  <si>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</si>
  <si>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Units</t>
  </si>
  <si>
    <t>Amt</t>
  </si>
  <si>
    <t>2. Plant and machinery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</si>
  <si>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</si>
  <si>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</si>
  <si>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</si>
  <si>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</si>
  <si>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</si>
  <si>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</si>
  <si>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</si>
  <si>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</si>
  <si>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</si>
  <si>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</si>
  <si>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</si>
  <si>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</si>
  <si>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</si>
  <si>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</si>
  <si>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</si>
  <si>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</si>
  <si>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Sales</t>
  </si>
  <si>
    <t>Administrative salaries and wages</t>
  </si>
  <si>
    <t>S. No.</t>
  </si>
  <si>
    <t>Designation</t>
  </si>
  <si>
    <t>In no.</t>
  </si>
  <si>
    <t>Salary per person per month</t>
  </si>
  <si>
    <t>i.</t>
  </si>
  <si>
    <t>ii.</t>
  </si>
  <si>
    <t>Total annual wages</t>
  </si>
  <si>
    <t>Annual increase in wages</t>
  </si>
  <si>
    <t>Accountant</t>
  </si>
  <si>
    <t>iii.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</si>
  <si>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</si>
  <si>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</si>
  <si>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</si>
  <si>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</si>
  <si>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</si>
  <si>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</si>
  <si>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</si>
  <si>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</si>
  <si>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</si>
  <si>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</si>
  <si>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Break even capacity at maximum capacity utilixzation</t>
  </si>
  <si>
    <t>Variable cost</t>
  </si>
  <si>
    <t>- Running and maintenance cost</t>
  </si>
  <si>
    <t>- Selling cost</t>
  </si>
  <si>
    <t>- Interest on Working capital</t>
  </si>
  <si>
    <t>Contribution</t>
  </si>
  <si>
    <t>Less: fixed cost</t>
  </si>
  <si>
    <t>Wages and salaries</t>
  </si>
  <si>
    <t>- electricity expense</t>
  </si>
  <si>
    <t>Depreciation</t>
  </si>
  <si>
    <t>Fixed cost</t>
  </si>
  <si>
    <t>Electricity charges</t>
  </si>
  <si>
    <t>selling expenses</t>
  </si>
  <si>
    <t>Interest on Working capital</t>
  </si>
  <si>
    <t>Running and maintenance cost</t>
  </si>
  <si>
    <t>Procurement cost of vegetable and fruit</t>
  </si>
  <si>
    <t>Sales price per kg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</si>
  <si>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</si>
  <si>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</si>
  <si>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</si>
  <si>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</si>
  <si>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</si>
  <si>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</si>
  <si>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</si>
  <si>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</si>
  <si>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</si>
  <si>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</si>
  <si>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Annexure 13 - Repayment schedule</t>
  </si>
  <si>
    <t>Repayment schedule</t>
  </si>
  <si>
    <t>Amount of Loan (in lakhs)</t>
  </si>
  <si>
    <t>Rate of interest</t>
  </si>
  <si>
    <t>Moratorium period</t>
  </si>
  <si>
    <t>Quarter</t>
  </si>
  <si>
    <t>Balance outstanding</t>
  </si>
  <si>
    <t>Interest</t>
  </si>
  <si>
    <t>Principal instalment</t>
  </si>
  <si>
    <t>total</t>
  </si>
  <si>
    <t>Operating profits (PBT)</t>
  </si>
  <si>
    <t>depreciation</t>
  </si>
  <si>
    <t>Net Profit before Tax</t>
  </si>
  <si>
    <t>Income Tax</t>
  </si>
  <si>
    <t>Profits after Tax</t>
  </si>
  <si>
    <t>Annexure 10 - Calculation of Income tax</t>
  </si>
  <si>
    <t>Calculation of Income Tax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</si>
  <si>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</si>
  <si>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</si>
  <si>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</si>
  <si>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</si>
  <si>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</si>
  <si>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</si>
  <si>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</si>
  <si>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</si>
  <si>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</si>
  <si>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</si>
  <si>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</si>
  <si>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</si>
  <si>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</si>
  <si>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</si>
  <si>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</si>
  <si>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</si>
  <si>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</si>
  <si>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</si>
  <si>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</si>
  <si>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</si>
  <si>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</si>
  <si>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</si>
  <si>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</si>
  <si>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Total liabilities</t>
  </si>
  <si>
    <t>Total assets</t>
  </si>
  <si>
    <t>Current Ratio</t>
  </si>
  <si>
    <t>Current Assets</t>
  </si>
  <si>
    <t>Current Liabilities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</si>
  <si>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</si>
  <si>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</si>
  <si>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</si>
  <si>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</si>
  <si>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</si>
  <si>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</si>
  <si>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</si>
  <si>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</si>
  <si>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</si>
  <si>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</si>
  <si>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</si>
  <si>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</si>
  <si>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</si>
  <si>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</si>
  <si>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</si>
  <si>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</si>
  <si>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</si>
  <si>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assumptions</t>
  </si>
  <si>
    <t>Average</t>
  </si>
  <si>
    <t>Fixed asset coverage ratio</t>
  </si>
  <si>
    <t>Fixed assets</t>
  </si>
  <si>
    <t>6 months</t>
  </si>
  <si>
    <t>Annexure 8 - Details of Mnpower</t>
  </si>
  <si>
    <t>Details of Manpower</t>
  </si>
  <si>
    <t>Security</t>
  </si>
  <si>
    <t>Creditors</t>
  </si>
  <si>
    <t>Total manpower</t>
  </si>
  <si>
    <t>opening balance</t>
  </si>
  <si>
    <t>Add: Sales realizations</t>
  </si>
  <si>
    <t>Less: Interest payments</t>
  </si>
  <si>
    <t>Working capital</t>
  </si>
  <si>
    <t>Interest on WC Loan</t>
  </si>
  <si>
    <t>E mandi expense</t>
  </si>
  <si>
    <t>Site Development</t>
  </si>
  <si>
    <t>Sales Budget</t>
  </si>
  <si>
    <t>Production capacity utilization</t>
  </si>
  <si>
    <t>Sales qty</t>
  </si>
  <si>
    <t>Production budget</t>
  </si>
  <si>
    <t>Production capacity</t>
  </si>
  <si>
    <t>kg per hr</t>
  </si>
  <si>
    <t>Production hours in a year</t>
  </si>
  <si>
    <t>hours</t>
  </si>
  <si>
    <t>Production qty in a year</t>
  </si>
  <si>
    <t>kgs</t>
  </si>
  <si>
    <t>Products</t>
  </si>
  <si>
    <t>Production at 100% capacity</t>
  </si>
  <si>
    <t>sales prices per kg in year I</t>
  </si>
  <si>
    <t>purchase prices per kg in year I</t>
  </si>
  <si>
    <t>Opening Stock</t>
  </si>
  <si>
    <t>Add: Production</t>
  </si>
  <si>
    <t>Less: Sales</t>
  </si>
  <si>
    <t>Closing Stock</t>
  </si>
  <si>
    <t>Assumptions:</t>
  </si>
  <si>
    <t>Output</t>
  </si>
  <si>
    <t>Production qty</t>
  </si>
  <si>
    <t>Purchase of raw material input</t>
  </si>
  <si>
    <t>Electricity expense</t>
  </si>
  <si>
    <t>Usage in units</t>
  </si>
  <si>
    <t>2. interest on working capital is assumed to be 10% p.a.</t>
  </si>
  <si>
    <t>4. Electricity usage in units is given below</t>
  </si>
  <si>
    <t>Cost of Production</t>
  </si>
  <si>
    <t>Add: Opening stock</t>
  </si>
  <si>
    <t>Less: Closing stock</t>
  </si>
  <si>
    <t>- Procurement cost of inputs</t>
  </si>
  <si>
    <t>Sub Total</t>
  </si>
  <si>
    <t>Output stock calculation</t>
  </si>
  <si>
    <t>Total depreciation for the year</t>
  </si>
  <si>
    <t>Machine operators</t>
  </si>
  <si>
    <t>Preliminary Expense</t>
  </si>
  <si>
    <t>Cash flow statement</t>
  </si>
  <si>
    <t>Less: Payment made to creditors of previos year</t>
  </si>
  <si>
    <t>Add: Receipts from debtors of previos year</t>
  </si>
  <si>
    <t>Less: Payments made for current year purchase</t>
  </si>
  <si>
    <t>Less: Distrubutions made from profits</t>
  </si>
  <si>
    <t>Less: Income tax</t>
  </si>
  <si>
    <t>Less: Principal repayment of loan</t>
  </si>
  <si>
    <t>Closing cash balance</t>
  </si>
  <si>
    <t>Fertilizer Pilot Granulator Machine 3mm 1 Ton/Hr</t>
  </si>
  <si>
    <t>Fertilizer Pilot Granulator Machine 2mm 0.5 Ton/Hr</t>
  </si>
  <si>
    <t>fertilizer Shaper Machine</t>
  </si>
  <si>
    <t>Fertilizer Ribbon Blender Mixer Machine</t>
  </si>
  <si>
    <t>Fertilizer High-Speed Crusher Machine</t>
  </si>
  <si>
    <t>Fertilizer Rotary Screener Machine</t>
  </si>
  <si>
    <t>Fertilizer Conveyor Belt</t>
  </si>
  <si>
    <t>Fertilizer Hopper 200kg</t>
  </si>
  <si>
    <t>Fertilizer Weight Machine</t>
  </si>
  <si>
    <t>Fertilizer Bag Closer Machine</t>
  </si>
  <si>
    <t>Fertilizer Box Packing Machine</t>
  </si>
  <si>
    <t>Fertilizer Dryer System</t>
  </si>
  <si>
    <t>Fertilizer De-Watering Machine</t>
  </si>
  <si>
    <t>QC and Testing equipments</t>
  </si>
  <si>
    <t>Power Generator Set 15KVA</t>
  </si>
  <si>
    <t>Control Panel</t>
  </si>
  <si>
    <t>Ouput available for sale</t>
  </si>
  <si>
    <t>2. assumed that 99% of production is sold for first 5 years, thereafter demand is almost 101% of output but we are able to serve market according to the availablility of output</t>
  </si>
  <si>
    <t>PV dicounting rate</t>
  </si>
  <si>
    <t>PVF</t>
  </si>
  <si>
    <t>Inflows</t>
  </si>
  <si>
    <t>PV of Inflows</t>
  </si>
  <si>
    <t>Outflows</t>
  </si>
  <si>
    <t>PV of Outflows</t>
  </si>
  <si>
    <t>Net cash inflow</t>
  </si>
  <si>
    <t>Net Present value</t>
  </si>
  <si>
    <t>Turnover</t>
  </si>
  <si>
    <t>Cost Of operations</t>
  </si>
  <si>
    <t>Gross profit</t>
  </si>
  <si>
    <t>EBITDA</t>
  </si>
  <si>
    <t>Profit before tax</t>
  </si>
  <si>
    <t>Profit after tax</t>
  </si>
  <si>
    <t>Contribution per kg</t>
  </si>
  <si>
    <t>Rs. per kg</t>
  </si>
  <si>
    <t>BEP in kgs</t>
  </si>
  <si>
    <t>Total BEP %</t>
  </si>
  <si>
    <t>Interest on TL</t>
  </si>
  <si>
    <t>Add: Capital</t>
  </si>
  <si>
    <t>Add: Loan disbursement</t>
  </si>
  <si>
    <t>Less: Purchase of asset</t>
  </si>
  <si>
    <t>Contents Table</t>
  </si>
  <si>
    <t>Contents</t>
  </si>
  <si>
    <t>Link</t>
  </si>
  <si>
    <t>Ann 1'!A1</t>
  </si>
  <si>
    <t>Ann 2'!A1</t>
  </si>
  <si>
    <t>Ann 4'!A1</t>
  </si>
  <si>
    <t>Ann 5'!A1</t>
  </si>
  <si>
    <t>Ann 8'!A1</t>
  </si>
  <si>
    <t>Ann 9'!A1</t>
  </si>
  <si>
    <t>Ann 10'!A1</t>
  </si>
  <si>
    <t>Ann 11'!A1</t>
  </si>
  <si>
    <t>Ann 13'!A1</t>
  </si>
  <si>
    <t>Assumptions!A1</t>
  </si>
  <si>
    <t>Budgets!A1</t>
  </si>
  <si>
    <t>S. no.</t>
  </si>
  <si>
    <t>Assumptions</t>
  </si>
  <si>
    <t>Assumed that 30 days of sales are average debtors maintained by the business</t>
  </si>
  <si>
    <t>Electricity usage in units is given below</t>
  </si>
  <si>
    <t>Cash flows'!A1</t>
  </si>
  <si>
    <t>iv.</t>
  </si>
  <si>
    <t>Labour/ helper</t>
  </si>
  <si>
    <t>Annual cost</t>
  </si>
  <si>
    <t>Add: benefits @ 15%</t>
  </si>
  <si>
    <t>Running and Manintenance expense @0.1% of procurement cost</t>
  </si>
  <si>
    <t>Selling expenses @ Rs. 1 per kg</t>
  </si>
  <si>
    <t>Distribution of profits (50%)</t>
  </si>
  <si>
    <t>1. asssumed that 60 days of purchases are average creditors maintained</t>
  </si>
  <si>
    <t>1. Sales price per kg of output is 20, expected to increase 6% per annum</t>
  </si>
  <si>
    <t>5. Closing stock is valued at Rs. 20 per kg</t>
  </si>
  <si>
    <t>1. assumed that 2% of the output is normal loss in production processs</t>
  </si>
  <si>
    <t>3. Electricity are semi-fixed cost. Rs. 1,40,000 pa is fixed, balance is variable at Rs. 12 per unit usage</t>
  </si>
  <si>
    <t>Closing stock is valued at Rs. 20 per kg</t>
  </si>
  <si>
    <t>Electricity are semi-fixed cost. Rs. 1,40,000 pa is fixed, balance is variable at Rs. 12 per unit usage</t>
  </si>
  <si>
    <t>Interest on working capital is assumed to be 10% p.a.</t>
  </si>
  <si>
    <t>Assumed that 2% of the output is normal loss in production processs</t>
  </si>
  <si>
    <t>Asssumed that 60 days of purchases are average creditors maintained</t>
  </si>
  <si>
    <t>1. Interest on working capital is computed taking 10% rate of interest p.a.</t>
  </si>
  <si>
    <t>Amount of subsidy (in lakhs)</t>
  </si>
  <si>
    <t>In case of Capital subsidy, the amount vary depending on location of unit and scheme offered by the government at that time. Thus it is assumed here that 15% of cost of project (Rs. 52.6485 lakhs)is sourced through back end subsidy.</t>
  </si>
  <si>
    <t>The amount Rs. 52.6485 lakhs is sourced by Government subsidy. Since this is a back end subsidy, the amount is funded to bank at the end of repayment schedule.</t>
  </si>
  <si>
    <t>DPR with subsidy</t>
  </si>
  <si>
    <t>Other income - Subsidy for repayment of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</si>
</sst>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_(* #,##0.000000000_);_(* \(#,##0.000000000\);_(* &quot;-&quot;??_);_(@_)"/>
    <numFmt numFmtId="167" formatCode="0.000"/>
    <numFmt numFmtId="168" formatCode="_(* #,##0.0000_);_(* \(#,##0.0000\);_(* &quot;-&quot;??_);_(@_)"/>
    <numFmt numFmtId="169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3" fillId="0" borderId="0" xfId="0" applyFont="1"/>
    <xf numFmtId="0" fontId="0" fillId="0" borderId="3" xfId="0" applyBorder="1"/>
    <xf numFmtId="0" fontId="0" fillId="0" borderId="0" xfId="0" applyBorder="1"/>
    <xf numFmtId="0" fontId="0" fillId="0" borderId="9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Border="1"/>
    <xf numFmtId="164" fontId="0" fillId="0" borderId="9" xfId="1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0" xfId="0" applyFont="1"/>
    <xf numFmtId="0" fontId="0" fillId="0" borderId="0" xfId="0" quotePrefix="1"/>
    <xf numFmtId="43" fontId="0" fillId="0" borderId="0" xfId="0" applyNumberFormat="1"/>
    <xf numFmtId="9" fontId="0" fillId="0" borderId="0" xfId="0" applyNumberFormat="1"/>
    <xf numFmtId="43" fontId="0" fillId="0" borderId="9" xfId="1" applyNumberFormat="1" applyFont="1" applyBorder="1"/>
    <xf numFmtId="43" fontId="0" fillId="0" borderId="9" xfId="0" applyNumberFormat="1" applyBorder="1"/>
    <xf numFmtId="43" fontId="0" fillId="0" borderId="10" xfId="0" applyNumberFormat="1" applyBorder="1"/>
    <xf numFmtId="0" fontId="0" fillId="0" borderId="0" xfId="0" applyAlignment="1">
      <alignment horizontal="right"/>
    </xf>
    <xf numFmtId="164" fontId="0" fillId="0" borderId="1" xfId="1" applyNumberFormat="1" applyFont="1" applyBorder="1"/>
    <xf numFmtId="0" fontId="3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43" fontId="0" fillId="0" borderId="4" xfId="0" applyNumberFormat="1" applyBorder="1"/>
    <xf numFmtId="0" fontId="0" fillId="2" borderId="6" xfId="0" applyFill="1" applyBorder="1"/>
    <xf numFmtId="0" fontId="0" fillId="0" borderId="0" xfId="0" applyBorder="1" applyAlignment="1">
      <alignment horizontal="left"/>
    </xf>
    <xf numFmtId="164" fontId="0" fillId="0" borderId="1" xfId="0" applyNumberFormat="1" applyBorder="1"/>
    <xf numFmtId="0" fontId="0" fillId="0" borderId="1" xfId="0" applyFill="1" applyBorder="1"/>
    <xf numFmtId="10" fontId="0" fillId="0" borderId="0" xfId="2" applyNumberFormat="1" applyFont="1"/>
    <xf numFmtId="0" fontId="0" fillId="0" borderId="5" xfId="0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164" fontId="0" fillId="0" borderId="9" xfId="0" applyNumberFormat="1" applyBorder="1"/>
    <xf numFmtId="0" fontId="2" fillId="0" borderId="0" xfId="0" applyFont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164" fontId="0" fillId="0" borderId="10" xfId="0" applyNumberFormat="1" applyBorder="1"/>
    <xf numFmtId="164" fontId="0" fillId="0" borderId="4" xfId="0" applyNumberFormat="1" applyBorder="1"/>
    <xf numFmtId="43" fontId="0" fillId="0" borderId="1" xfId="1" applyFont="1" applyBorder="1"/>
    <xf numFmtId="0" fontId="0" fillId="0" borderId="15" xfId="0" applyBorder="1"/>
    <xf numFmtId="164" fontId="0" fillId="0" borderId="11" xfId="0" applyNumberFormat="1" applyBorder="1"/>
    <xf numFmtId="164" fontId="0" fillId="0" borderId="11" xfId="1" applyNumberFormat="1" applyFont="1" applyBorder="1"/>
    <xf numFmtId="43" fontId="0" fillId="0" borderId="11" xfId="0" applyNumberFormat="1" applyBorder="1"/>
    <xf numFmtId="0" fontId="0" fillId="0" borderId="0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11" xfId="0" applyFill="1" applyBorder="1"/>
    <xf numFmtId="0" fontId="0" fillId="2" borderId="9" xfId="0" applyFill="1" applyBorder="1"/>
    <xf numFmtId="164" fontId="0" fillId="2" borderId="9" xfId="0" applyNumberFormat="1" applyFill="1" applyBorder="1"/>
    <xf numFmtId="2" fontId="0" fillId="0" borderId="1" xfId="0" applyNumberFormat="1" applyBorder="1"/>
    <xf numFmtId="43" fontId="0" fillId="0" borderId="9" xfId="1" applyFont="1" applyBorder="1"/>
    <xf numFmtId="164" fontId="0" fillId="0" borderId="8" xfId="0" applyNumberFormat="1" applyFill="1" applyBorder="1"/>
    <xf numFmtId="0" fontId="4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9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 applyAlignment="1">
      <alignment vertical="top"/>
    </xf>
    <xf numFmtId="165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2" borderId="4" xfId="0" applyFont="1" applyFill="1" applyBorder="1"/>
    <xf numFmtId="164" fontId="0" fillId="0" borderId="0" xfId="1" applyNumberFormat="1" applyFont="1" applyBorder="1" applyAlignment="1">
      <alignment horizontal="left"/>
    </xf>
    <xf numFmtId="167" fontId="0" fillId="0" borderId="0" xfId="0" applyNumberFormat="1"/>
    <xf numFmtId="0" fontId="0" fillId="0" borderId="1" xfId="0" applyBorder="1" applyAlignment="1">
      <alignment horizontal="right"/>
    </xf>
    <xf numFmtId="43" fontId="0" fillId="0" borderId="1" xfId="0" applyNumberFormat="1" applyBorder="1"/>
    <xf numFmtId="2" fontId="0" fillId="0" borderId="0" xfId="2" applyNumberFormat="1" applyFont="1"/>
    <xf numFmtId="0" fontId="5" fillId="0" borderId="0" xfId="0" applyFont="1"/>
    <xf numFmtId="0" fontId="4" fillId="2" borderId="1" xfId="0" applyFont="1" applyFill="1" applyBorder="1"/>
    <xf numFmtId="0" fontId="4" fillId="0" borderId="1" xfId="0" applyFont="1" applyBorder="1"/>
    <xf numFmtId="164" fontId="4" fillId="0" borderId="1" xfId="1" applyNumberFormat="1" applyFont="1" applyBorder="1"/>
    <xf numFmtId="0" fontId="2" fillId="0" borderId="1" xfId="0" applyFont="1" applyBorder="1"/>
    <xf numFmtId="0" fontId="6" fillId="0" borderId="1" xfId="3" quotePrefix="1" applyBorder="1"/>
    <xf numFmtId="0" fontId="6" fillId="0" borderId="1" xfId="3" applyBorder="1"/>
    <xf numFmtId="168" fontId="0" fillId="0" borderId="0" xfId="0" applyNumberFormat="1"/>
    <xf numFmtId="168" fontId="0" fillId="0" borderId="9" xfId="1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/>
    <xf numFmtId="168" fontId="0" fillId="0" borderId="9" xfId="0" applyNumberFormat="1" applyBorder="1"/>
    <xf numFmtId="164" fontId="7" fillId="0" borderId="0" xfId="1" applyNumberFormat="1" applyFont="1"/>
    <xf numFmtId="10" fontId="7" fillId="0" borderId="0" xfId="1" applyNumberFormat="1" applyFont="1"/>
    <xf numFmtId="0" fontId="7" fillId="0" borderId="0" xfId="0" applyFont="1"/>
    <xf numFmtId="166" fontId="7" fillId="0" borderId="0" xfId="1" applyNumberFormat="1" applyFont="1"/>
    <xf numFmtId="164" fontId="7" fillId="0" borderId="0" xfId="0" applyNumberFormat="1" applyFont="1"/>
    <xf numFmtId="169" fontId="0" fillId="0" borderId="0" xfId="0" applyNumberFormat="1"/>
    <xf numFmtId="10" fontId="0" fillId="3" borderId="0" xfId="0" applyNumberFormat="1" applyFill="1"/>
    <xf numFmtId="0" fontId="0" fillId="3" borderId="0" xfId="0" applyFill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Assignments\6.%20Ashiwini%20Mittal%20uncle's%20bid%20for%20work\1.%20F&amp;V%20Processing%20unit\F&amp;V%20Processing%20Unit%20Annexures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Budgets"/>
      <sheetName val="Assumptions"/>
      <sheetName val="For word file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/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/>
      <sheetData sheetId="7"/>
      <sheetData sheetId="8"/>
      <sheetData sheetId="9"/>
      <sheetData sheetId="10"/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/>
      <sheetData sheetId="14">
        <row r="1">
          <cell r="A1" t="str">
            <v>Sales Budget</v>
          </cell>
        </row>
      </sheetData>
      <sheetData sheetId="15">
        <row r="1">
          <cell r="B1" t="str">
            <v>Assumptions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AC8BE-60EA-43EA-96F6-72E97A57CA2D}">
  <dimension ref="A1:B15"/>
  <sheetViews>
    <sheetView workbookViewId="0">
      <selection activeCell="A21" sqref="A21"/>
    </sheetView>
  </sheetViews>
  <sheetFormatPr defaultRowHeight="14.5" x14ac:dyDescent="0.35"/>
  <cols>
    <col min="1" max="1" width="57.90625" bestFit="1" customWidth="1"/>
    <col min="2" max="2" width="14.453125" bestFit="1" customWidth="1"/>
  </cols>
  <sheetData>
    <row r="1" spans="1:2" x14ac:dyDescent="0.35">
      <c r="A1" s="22" t="s">
        <v>261</v>
      </c>
    </row>
    <row r="3" spans="1:2" x14ac:dyDescent="0.35">
      <c r="A3" s="88" t="s">
        <v>262</v>
      </c>
      <c r="B3" s="88" t="s">
        <v>263</v>
      </c>
    </row>
    <row r="4" spans="1:2" x14ac:dyDescent="0.35">
      <c r="A4" s="12" t="str">
        <f>'[1]Ann 1'!A3</f>
        <v>Annexure 1 - Estimated cost of the project</v>
      </c>
      <c r="B4" s="89" t="s">
        <v>264</v>
      </c>
    </row>
    <row r="5" spans="1:2" x14ac:dyDescent="0.35">
      <c r="A5" s="12" t="str">
        <f>'[1]Ann 2'!A1</f>
        <v>Annexure 2 - Means of Finance</v>
      </c>
      <c r="B5" s="89" t="s">
        <v>265</v>
      </c>
    </row>
    <row r="6" spans="1:2" x14ac:dyDescent="0.35">
      <c r="A6" s="12" t="str">
        <f>'[1]Ann 4'!A1</f>
        <v>Annexure 4 - Estimated Cost of Production</v>
      </c>
      <c r="B6" s="89" t="s">
        <v>266</v>
      </c>
    </row>
    <row r="7" spans="1:2" x14ac:dyDescent="0.35">
      <c r="A7" s="12" t="str">
        <f>'[1]Ann 5'!A1</f>
        <v>Annexure 5- Projected balance sheet</v>
      </c>
      <c r="B7" s="89" t="s">
        <v>267</v>
      </c>
    </row>
    <row r="8" spans="1:2" x14ac:dyDescent="0.35">
      <c r="A8" s="12" t="str">
        <f>'Ann 8'!A1</f>
        <v>Annexure 8 - Details of Mnpower</v>
      </c>
      <c r="B8" s="89" t="s">
        <v>268</v>
      </c>
    </row>
    <row r="9" spans="1:2" x14ac:dyDescent="0.35">
      <c r="A9" s="12" t="str">
        <f>'Ann 9'!A1</f>
        <v>Annexure 9 - Computation of Depreciation</v>
      </c>
      <c r="B9" s="89" t="s">
        <v>269</v>
      </c>
    </row>
    <row r="10" spans="1:2" x14ac:dyDescent="0.35">
      <c r="A10" s="12" t="str">
        <f>'Ann 10'!A1</f>
        <v>Annexure 10 - Calculation of Income tax</v>
      </c>
      <c r="B10" s="89" t="s">
        <v>270</v>
      </c>
    </row>
    <row r="11" spans="1:2" x14ac:dyDescent="0.35">
      <c r="A11" s="12" t="str">
        <f>'[1]Ann 11'!A1</f>
        <v>Annexure 11- Break even analysis (At maximum capacity utilization)</v>
      </c>
      <c r="B11" s="89" t="s">
        <v>271</v>
      </c>
    </row>
    <row r="12" spans="1:2" x14ac:dyDescent="0.35">
      <c r="A12" s="12" t="str">
        <f>'Ann 13'!A1</f>
        <v>Annexure 13 - Repayment schedule</v>
      </c>
      <c r="B12" s="89" t="s">
        <v>272</v>
      </c>
    </row>
    <row r="13" spans="1:2" x14ac:dyDescent="0.35">
      <c r="A13" s="12" t="str">
        <f>[1]Assumptions!B1</f>
        <v>Assumptions</v>
      </c>
      <c r="B13" s="90" t="s">
        <v>273</v>
      </c>
    </row>
    <row r="14" spans="1:2" x14ac:dyDescent="0.35">
      <c r="A14" s="12" t="str">
        <f>'Cash flows'!A1</f>
        <v>Cash flow statement</v>
      </c>
      <c r="B14" s="89" t="s">
        <v>279</v>
      </c>
    </row>
    <row r="15" spans="1:2" x14ac:dyDescent="0.35">
      <c r="A15" s="12" t="str">
        <f>[1]Budgets!A1</f>
        <v>Sales Budget</v>
      </c>
      <c r="B15" s="90" t="s">
        <v>274</v>
      </c>
    </row>
  </sheetData>
  <hyperlinks>
    <hyperlink ref="B4" location="'Ann 1'!A1" display="Ann 1'!A1" xr:uid="{8392AB6D-212E-479A-A76E-720E2C0CDF1A}"/>
    <hyperlink ref="B5" location="'Ann 2'!A1" display="Ann 2'!A1" xr:uid="{B4E13D04-8C42-46A6-BAFD-20DB089CE0CE}"/>
    <hyperlink ref="B6" location="'Ann 5'!A1" display="Ann 4'!A1" xr:uid="{13CD8BC8-123F-4B27-B558-7700BF617505}"/>
    <hyperlink ref="B7" location="'Ann 6'!A1" display="Ann 5'!A1" xr:uid="{48243C34-7BE1-4B2C-9BAF-A4BEE1FA52A7}"/>
    <hyperlink ref="B8" location="'Ann 8'!A1" display="'Ann 8'!A1" xr:uid="{4BFF2D8E-3B2F-47B1-821E-2A9D5F3C599D}"/>
    <hyperlink ref="B9" location="'Ann 9'!A1" display="'Ann 9'!A1" xr:uid="{E91052E2-C8F3-4E24-802C-38C31EA75505}"/>
    <hyperlink ref="B10" location="'Ann 10'!A1" display="'Ann 10'!A1" xr:uid="{6A4B47E0-EA66-439F-8C5A-E0DF1C723C34}"/>
    <hyperlink ref="B11" location="'Ann 11'!A1" display="'Ann 11'!A1" xr:uid="{91648EFB-F5F2-42E9-8853-705ACD4F62EF}"/>
    <hyperlink ref="B12" location="'Ann 13'!A1" display="'Ann 13'!A1" xr:uid="{D748CAF8-9377-4D17-A5F2-F1A083E6D389}"/>
    <hyperlink ref="B13" location="Assumptions!A1" display="Assumptions!A1" xr:uid="{E978F649-0532-497D-92AA-EF316AAFA8E7}"/>
    <hyperlink ref="B15" location="Budgets!A1" display="Budgets!A1" xr:uid="{4CD23AF4-AE8A-40D8-A5ED-3F33524C9974}"/>
    <hyperlink ref="B14" location="'Cash flows'!A1" display="'Cash flows'!A1" xr:uid="{718213C1-E053-4B01-87D5-A7B478363B5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H31"/>
  <sheetViews>
    <sheetView topLeftCell="A9" workbookViewId="0">
      <selection activeCell="D8" sqref="D8"/>
    </sheetView>
  </sheetViews>
  <sheetFormatPr defaultRowHeight="14.5" x14ac:dyDescent="0.35"/>
  <cols>
    <col min="2" max="2" width="23.54296875" bestFit="1" customWidth="1"/>
    <col min="4" max="4" width="14.6328125" bestFit="1" customWidth="1"/>
    <col min="5" max="5" width="13.54296875" bestFit="1" customWidth="1"/>
    <col min="6" max="6" width="13.6328125" bestFit="1" customWidth="1"/>
    <col min="16" max="16" width="13.6328125" bestFit="1" customWidth="1"/>
    <col min="17" max="17" width="12.54296875" bestFit="1" customWidth="1"/>
  </cols>
  <sheetData>
    <row r="1" spans="1:8" x14ac:dyDescent="0.35">
      <c r="A1" s="22" t="s">
        <v>71</v>
      </c>
    </row>
    <row r="3" spans="1:8" x14ac:dyDescent="0.35">
      <c r="A3" s="3" t="s">
        <v>72</v>
      </c>
    </row>
    <row r="5" spans="1:8" x14ac:dyDescent="0.35">
      <c r="B5" t="s">
        <v>50</v>
      </c>
      <c r="F5" s="15">
        <f>'Ann 4'!C21/60%</f>
        <v>6720000000</v>
      </c>
    </row>
    <row r="6" spans="1:8" x14ac:dyDescent="0.35">
      <c r="B6" t="s">
        <v>73</v>
      </c>
    </row>
    <row r="7" spans="1:8" x14ac:dyDescent="0.35">
      <c r="B7" s="23" t="s">
        <v>207</v>
      </c>
      <c r="E7" s="15">
        <f>'Ann 4'!C7/70%</f>
        <v>5287680000</v>
      </c>
    </row>
    <row r="8" spans="1:8" x14ac:dyDescent="0.35">
      <c r="B8" s="23" t="s">
        <v>74</v>
      </c>
      <c r="E8" s="16">
        <f>E7*0.1%</f>
        <v>5287680</v>
      </c>
    </row>
    <row r="9" spans="1:8" x14ac:dyDescent="0.35">
      <c r="B9" s="23" t="s">
        <v>75</v>
      </c>
      <c r="E9" s="16">
        <f>1*Budgets!B16</f>
        <v>288000000</v>
      </c>
      <c r="G9" s="23"/>
    </row>
    <row r="10" spans="1:8" x14ac:dyDescent="0.35">
      <c r="B10" s="23" t="s">
        <v>76</v>
      </c>
      <c r="E10" s="16">
        <f>10000000*10%</f>
        <v>1000000</v>
      </c>
      <c r="F10" s="16"/>
    </row>
    <row r="11" spans="1:8" x14ac:dyDescent="0.35">
      <c r="B11" s="23" t="s">
        <v>80</v>
      </c>
      <c r="E11" s="16">
        <f>140000+'Ann 4'!K43</f>
        <v>327613.38968750002</v>
      </c>
      <c r="F11" s="16">
        <f>SUM(E7:E11)</f>
        <v>5582295293.3896875</v>
      </c>
      <c r="H11" s="24"/>
    </row>
    <row r="12" spans="1:8" x14ac:dyDescent="0.35">
      <c r="B12" t="s">
        <v>77</v>
      </c>
      <c r="F12" s="16">
        <f>F5-F11</f>
        <v>1137704706.6103125</v>
      </c>
    </row>
    <row r="13" spans="1:8" x14ac:dyDescent="0.35">
      <c r="B13" t="s">
        <v>78</v>
      </c>
    </row>
    <row r="14" spans="1:8" x14ac:dyDescent="0.35">
      <c r="B14" t="s">
        <v>79</v>
      </c>
      <c r="F14" s="16">
        <f>'Ann 4'!C16</f>
        <v>1965120</v>
      </c>
    </row>
    <row r="15" spans="1:8" x14ac:dyDescent="0.35">
      <c r="B15" t="s">
        <v>81</v>
      </c>
      <c r="F15" s="16">
        <f>'Ann 9'!F12</f>
        <v>2986150</v>
      </c>
    </row>
    <row r="16" spans="1:8" x14ac:dyDescent="0.35">
      <c r="B16" t="s">
        <v>257</v>
      </c>
      <c r="F16" s="16">
        <f>SUM('Ann 13'!E10:E13)*100000</f>
        <v>1282891.5000000002</v>
      </c>
    </row>
    <row r="17" spans="1:6" x14ac:dyDescent="0.35">
      <c r="B17" t="s">
        <v>82</v>
      </c>
      <c r="F17" s="16">
        <f>SUM(F14:F16)</f>
        <v>6234161.5</v>
      </c>
    </row>
    <row r="19" spans="1:6" x14ac:dyDescent="0.35">
      <c r="D19" t="s">
        <v>254</v>
      </c>
    </row>
    <row r="20" spans="1:6" x14ac:dyDescent="0.35">
      <c r="B20" t="s">
        <v>88</v>
      </c>
      <c r="D20">
        <f>Budgets!C16</f>
        <v>20</v>
      </c>
    </row>
    <row r="21" spans="1:6" x14ac:dyDescent="0.35">
      <c r="B21" s="23" t="s">
        <v>87</v>
      </c>
      <c r="D21">
        <f>Budgets!D16</f>
        <v>18</v>
      </c>
    </row>
    <row r="22" spans="1:6" x14ac:dyDescent="0.35">
      <c r="B22" s="23" t="s">
        <v>86</v>
      </c>
      <c r="D22">
        <f>D20*0.1%</f>
        <v>0.02</v>
      </c>
    </row>
    <row r="23" spans="1:6" x14ac:dyDescent="0.35">
      <c r="B23" s="23" t="s">
        <v>85</v>
      </c>
      <c r="D23" s="91">
        <f>E10/Budgets!B16</f>
        <v>3.472222222222222E-3</v>
      </c>
    </row>
    <row r="24" spans="1:6" x14ac:dyDescent="0.35">
      <c r="B24" t="s">
        <v>84</v>
      </c>
      <c r="D24">
        <v>1</v>
      </c>
    </row>
    <row r="25" spans="1:6" x14ac:dyDescent="0.35">
      <c r="B25" t="s">
        <v>83</v>
      </c>
      <c r="D25" s="91">
        <f>E11/Budgets!B16*800</f>
        <v>0.9100371935763889</v>
      </c>
    </row>
    <row r="26" spans="1:6" x14ac:dyDescent="0.35">
      <c r="B26" t="s">
        <v>253</v>
      </c>
      <c r="D26">
        <f>D20-SUM(D21:D25)</f>
        <v>6.6490584201389424E-2</v>
      </c>
    </row>
    <row r="27" spans="1:6" x14ac:dyDescent="0.35">
      <c r="B27" t="s">
        <v>255</v>
      </c>
      <c r="D27" s="83">
        <f>F17/D26</f>
        <v>93760065.05098097</v>
      </c>
    </row>
    <row r="28" spans="1:6" x14ac:dyDescent="0.35">
      <c r="B28" t="s">
        <v>256</v>
      </c>
      <c r="D28" s="42">
        <f>D27/Budgets!B16</f>
        <v>0.32555578142701724</v>
      </c>
    </row>
    <row r="29" spans="1:6" x14ac:dyDescent="0.35">
      <c r="D29" s="42"/>
    </row>
    <row r="30" spans="1:6" x14ac:dyDescent="0.35">
      <c r="A30" t="s">
        <v>161</v>
      </c>
    </row>
    <row r="31" spans="1:6" x14ac:dyDescent="0.35">
      <c r="A31" t="s">
        <v>297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89</v>
      </c>
    </row>
    <row r="3" spans="1:11" x14ac:dyDescent="0.35">
      <c r="C3" s="107" t="s">
        <v>90</v>
      </c>
      <c r="D3" s="107"/>
      <c r="E3" s="107"/>
      <c r="F3" s="107"/>
      <c r="G3" s="107"/>
      <c r="H3" s="107"/>
      <c r="I3" s="107"/>
      <c r="J3" s="107"/>
      <c r="K3" s="107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91</v>
      </c>
      <c r="C5" t="e">
        <f>'Ann 4'!#REF!</f>
        <v>#REF!</v>
      </c>
      <c r="D5" t="e">
        <f>'Ann 4'!#REF!</f>
        <v>#REF!</v>
      </c>
      <c r="E5" t="e">
        <f>'Ann 4'!#REF!</f>
        <v>#REF!</v>
      </c>
      <c r="F5" t="e">
        <f>'Ann 4'!#REF!</f>
        <v>#REF!</v>
      </c>
      <c r="G5" t="e">
        <f>'Ann 4'!#REF!</f>
        <v>#REF!</v>
      </c>
      <c r="H5" t="e">
        <f>'Ann 4'!#REF!</f>
        <v>#REF!</v>
      </c>
      <c r="I5" t="e">
        <f>'Ann 4'!#REF!</f>
        <v>#REF!</v>
      </c>
      <c r="J5" t="e">
        <f>'Ann 4'!#REF!</f>
        <v>#REF!</v>
      </c>
      <c r="K5" t="e">
        <f>'Ann 4'!#REF!</f>
        <v>#REF!</v>
      </c>
    </row>
    <row r="6" spans="1:11" x14ac:dyDescent="0.35">
      <c r="A6" t="s">
        <v>92</v>
      </c>
      <c r="C6" t="e">
        <f>'Ann 4'!#REF!</f>
        <v>#REF!</v>
      </c>
      <c r="D6" t="e">
        <f>'Ann 4'!#REF!</f>
        <v>#REF!</v>
      </c>
      <c r="E6" t="e">
        <f>'Ann 4'!#REF!</f>
        <v>#REF!</v>
      </c>
      <c r="F6" t="e">
        <f>'Ann 4'!#REF!</f>
        <v>#REF!</v>
      </c>
      <c r="G6" t="e">
        <f>'Ann 4'!#REF!</f>
        <v>#REF!</v>
      </c>
      <c r="H6" t="e">
        <f>'Ann 4'!#REF!</f>
        <v>#REF!</v>
      </c>
      <c r="I6" t="e">
        <f>'Ann 4'!#REF!</f>
        <v>#REF!</v>
      </c>
      <c r="J6" t="e">
        <f>'Ann 4'!#REF!</f>
        <v>#REF!</v>
      </c>
      <c r="K6" t="e">
        <f>'Ann 4'!#REF!</f>
        <v>#REF!</v>
      </c>
    </row>
    <row r="7" spans="1:11" x14ac:dyDescent="0.35">
      <c r="A7" t="s">
        <v>93</v>
      </c>
    </row>
  </sheetData>
  <mergeCells count="1">
    <mergeCell ref="C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sheetPr>
    <pageSetUpPr fitToPage="1"/>
  </sheetPr>
  <dimension ref="A1:G40"/>
  <sheetViews>
    <sheetView topLeftCell="A16" workbookViewId="0">
      <selection activeCell="G19" sqref="G19"/>
    </sheetView>
  </sheetViews>
  <sheetFormatPr defaultRowHeight="14.5" x14ac:dyDescent="0.35"/>
  <cols>
    <col min="1" max="1" width="4.54296875" bestFit="1" customWidth="1"/>
    <col min="2" max="2" width="7.36328125" bestFit="1" customWidth="1"/>
    <col min="3" max="3" width="17.81640625" bestFit="1" customWidth="1"/>
    <col min="4" max="4" width="17.36328125" bestFit="1" customWidth="1"/>
    <col min="5" max="5" width="7.26953125" bestFit="1" customWidth="1"/>
  </cols>
  <sheetData>
    <row r="1" spans="1:7" x14ac:dyDescent="0.35">
      <c r="A1" s="22" t="s">
        <v>99</v>
      </c>
    </row>
    <row r="3" spans="1:7" x14ac:dyDescent="0.35">
      <c r="A3" s="3" t="s">
        <v>100</v>
      </c>
    </row>
    <row r="4" spans="1:7" x14ac:dyDescent="0.35">
      <c r="A4" t="s">
        <v>101</v>
      </c>
      <c r="D4" s="2">
        <f>'Ann 2'!C6</f>
        <v>215.89100000000002</v>
      </c>
    </row>
    <row r="5" spans="1:7" x14ac:dyDescent="0.35">
      <c r="A5" t="s">
        <v>298</v>
      </c>
      <c r="D5" s="101">
        <f>15%*'Ann 1'!C39</f>
        <v>52.648499999999999</v>
      </c>
    </row>
    <row r="6" spans="1:7" x14ac:dyDescent="0.35">
      <c r="A6" t="s">
        <v>102</v>
      </c>
      <c r="D6" s="102">
        <v>0.06</v>
      </c>
    </row>
    <row r="7" spans="1:7" x14ac:dyDescent="0.35">
      <c r="A7" t="s">
        <v>103</v>
      </c>
      <c r="D7" s="103" t="s">
        <v>165</v>
      </c>
    </row>
    <row r="9" spans="1:7" x14ac:dyDescent="0.35">
      <c r="A9" s="34" t="s">
        <v>70</v>
      </c>
      <c r="B9" s="34" t="s">
        <v>104</v>
      </c>
      <c r="C9" s="34" t="s">
        <v>105</v>
      </c>
      <c r="D9" s="34" t="s">
        <v>107</v>
      </c>
      <c r="E9" s="34" t="s">
        <v>106</v>
      </c>
    </row>
    <row r="10" spans="1:7" x14ac:dyDescent="0.35">
      <c r="A10" s="109">
        <v>1</v>
      </c>
      <c r="B10" s="12">
        <v>1</v>
      </c>
      <c r="C10" s="65">
        <f>$D$4</f>
        <v>215.89100000000002</v>
      </c>
      <c r="D10" s="12">
        <v>0</v>
      </c>
      <c r="E10" s="12">
        <f>C10*$D$6/4</f>
        <v>3.2383650000000004</v>
      </c>
    </row>
    <row r="11" spans="1:7" x14ac:dyDescent="0.35">
      <c r="A11" s="109"/>
      <c r="B11" s="12">
        <v>2</v>
      </c>
      <c r="C11" s="65">
        <f>$D$4</f>
        <v>215.89100000000002</v>
      </c>
      <c r="D11" s="12">
        <v>0</v>
      </c>
      <c r="E11" s="12">
        <f t="shared" ref="E11:E37" si="0">C11*$D$6/4</f>
        <v>3.2383650000000004</v>
      </c>
      <c r="G11" s="68"/>
    </row>
    <row r="12" spans="1:7" x14ac:dyDescent="0.35">
      <c r="A12" s="109"/>
      <c r="B12" s="12">
        <v>3</v>
      </c>
      <c r="C12" s="65">
        <f>$D$4</f>
        <v>215.89100000000002</v>
      </c>
      <c r="D12" s="12">
        <v>8.3030000000000008</v>
      </c>
      <c r="E12" s="12">
        <f t="shared" si="0"/>
        <v>3.2383650000000004</v>
      </c>
    </row>
    <row r="13" spans="1:7" x14ac:dyDescent="0.35">
      <c r="A13" s="109"/>
      <c r="B13" s="12">
        <v>4</v>
      </c>
      <c r="C13" s="12">
        <f t="shared" ref="C13:C18" si="1">C12-D12</f>
        <v>207.58800000000002</v>
      </c>
      <c r="D13" s="12">
        <f>D12</f>
        <v>8.3030000000000008</v>
      </c>
      <c r="E13" s="12">
        <f t="shared" si="0"/>
        <v>3.11382</v>
      </c>
    </row>
    <row r="14" spans="1:7" x14ac:dyDescent="0.35">
      <c r="A14" s="109">
        <v>2</v>
      </c>
      <c r="B14" s="12">
        <v>1</v>
      </c>
      <c r="C14" s="12">
        <f t="shared" si="1"/>
        <v>199.28500000000003</v>
      </c>
      <c r="D14" s="12">
        <f t="shared" ref="D14:D36" si="2">D13</f>
        <v>8.3030000000000008</v>
      </c>
      <c r="E14" s="12">
        <f t="shared" si="0"/>
        <v>2.9892750000000001</v>
      </c>
    </row>
    <row r="15" spans="1:7" x14ac:dyDescent="0.35">
      <c r="A15" s="109"/>
      <c r="B15" s="12">
        <v>2</v>
      </c>
      <c r="C15" s="12">
        <f t="shared" si="1"/>
        <v>190.98200000000003</v>
      </c>
      <c r="D15" s="12">
        <f t="shared" si="2"/>
        <v>8.3030000000000008</v>
      </c>
      <c r="E15" s="12">
        <f t="shared" si="0"/>
        <v>2.8647300000000002</v>
      </c>
    </row>
    <row r="16" spans="1:7" x14ac:dyDescent="0.35">
      <c r="A16" s="109"/>
      <c r="B16" s="12">
        <v>3</v>
      </c>
      <c r="C16" s="12">
        <f t="shared" si="1"/>
        <v>182.67900000000003</v>
      </c>
      <c r="D16" s="12">
        <f t="shared" si="2"/>
        <v>8.3030000000000008</v>
      </c>
      <c r="E16" s="12">
        <f t="shared" si="0"/>
        <v>2.7401850000000003</v>
      </c>
    </row>
    <row r="17" spans="1:6" x14ac:dyDescent="0.35">
      <c r="A17" s="109"/>
      <c r="B17" s="12">
        <v>4</v>
      </c>
      <c r="C17" s="12">
        <f t="shared" si="1"/>
        <v>174.37600000000003</v>
      </c>
      <c r="D17" s="12">
        <f t="shared" si="2"/>
        <v>8.3030000000000008</v>
      </c>
      <c r="E17" s="12">
        <f t="shared" si="0"/>
        <v>2.6156400000000004</v>
      </c>
    </row>
    <row r="18" spans="1:6" x14ac:dyDescent="0.35">
      <c r="A18" s="109">
        <v>3</v>
      </c>
      <c r="B18" s="12">
        <v>1</v>
      </c>
      <c r="C18" s="12">
        <f t="shared" si="1"/>
        <v>166.07300000000004</v>
      </c>
      <c r="D18" s="12">
        <f t="shared" si="2"/>
        <v>8.3030000000000008</v>
      </c>
      <c r="E18" s="12">
        <f t="shared" si="0"/>
        <v>2.4910950000000005</v>
      </c>
    </row>
    <row r="19" spans="1:6" x14ac:dyDescent="0.35">
      <c r="A19" s="109"/>
      <c r="B19" s="12">
        <v>2</v>
      </c>
      <c r="C19" s="12">
        <f t="shared" ref="C19:C37" si="3">C18-D18</f>
        <v>157.77000000000004</v>
      </c>
      <c r="D19" s="12">
        <f t="shared" si="2"/>
        <v>8.3030000000000008</v>
      </c>
      <c r="E19" s="12">
        <f t="shared" si="0"/>
        <v>2.3665500000000006</v>
      </c>
    </row>
    <row r="20" spans="1:6" x14ac:dyDescent="0.35">
      <c r="A20" s="109"/>
      <c r="B20" s="12">
        <v>3</v>
      </c>
      <c r="C20" s="12">
        <f t="shared" si="3"/>
        <v>149.46700000000004</v>
      </c>
      <c r="D20" s="12">
        <f t="shared" si="2"/>
        <v>8.3030000000000008</v>
      </c>
      <c r="E20" s="12">
        <f t="shared" si="0"/>
        <v>2.2420050000000007</v>
      </c>
    </row>
    <row r="21" spans="1:6" x14ac:dyDescent="0.35">
      <c r="A21" s="109"/>
      <c r="B21" s="12">
        <v>4</v>
      </c>
      <c r="C21" s="12">
        <f t="shared" si="3"/>
        <v>141.16400000000004</v>
      </c>
      <c r="D21" s="12">
        <f t="shared" si="2"/>
        <v>8.3030000000000008</v>
      </c>
      <c r="E21" s="12">
        <f t="shared" si="0"/>
        <v>2.1174600000000008</v>
      </c>
    </row>
    <row r="22" spans="1:6" x14ac:dyDescent="0.35">
      <c r="A22" s="109">
        <v>4</v>
      </c>
      <c r="B22" s="12">
        <v>1</v>
      </c>
      <c r="C22" s="12">
        <f t="shared" si="3"/>
        <v>132.86100000000005</v>
      </c>
      <c r="D22" s="12">
        <f t="shared" si="2"/>
        <v>8.3030000000000008</v>
      </c>
      <c r="E22" s="12">
        <f t="shared" si="0"/>
        <v>1.9929150000000007</v>
      </c>
    </row>
    <row r="23" spans="1:6" x14ac:dyDescent="0.35">
      <c r="A23" s="109"/>
      <c r="B23" s="12">
        <v>2</v>
      </c>
      <c r="C23" s="12">
        <f t="shared" si="3"/>
        <v>124.55800000000005</v>
      </c>
      <c r="D23" s="12">
        <f t="shared" si="2"/>
        <v>8.3030000000000008</v>
      </c>
      <c r="E23" s="12">
        <f t="shared" si="0"/>
        <v>1.8683700000000008</v>
      </c>
    </row>
    <row r="24" spans="1:6" x14ac:dyDescent="0.35">
      <c r="A24" s="109"/>
      <c r="B24" s="12">
        <v>3</v>
      </c>
      <c r="C24" s="12">
        <f t="shared" si="3"/>
        <v>116.25500000000005</v>
      </c>
      <c r="D24" s="12">
        <f t="shared" si="2"/>
        <v>8.3030000000000008</v>
      </c>
      <c r="E24" s="12">
        <f t="shared" si="0"/>
        <v>1.7438250000000006</v>
      </c>
    </row>
    <row r="25" spans="1:6" x14ac:dyDescent="0.35">
      <c r="A25" s="109"/>
      <c r="B25" s="12">
        <v>4</v>
      </c>
      <c r="C25" s="12">
        <f t="shared" si="3"/>
        <v>107.95200000000006</v>
      </c>
      <c r="D25" s="12">
        <f t="shared" si="2"/>
        <v>8.3030000000000008</v>
      </c>
      <c r="E25" s="12">
        <f t="shared" si="0"/>
        <v>1.6192800000000007</v>
      </c>
    </row>
    <row r="26" spans="1:6" x14ac:dyDescent="0.35">
      <c r="A26" s="109">
        <v>5</v>
      </c>
      <c r="B26" s="12">
        <v>1</v>
      </c>
      <c r="C26" s="12">
        <f t="shared" si="3"/>
        <v>99.649000000000058</v>
      </c>
      <c r="D26" s="12">
        <f t="shared" si="2"/>
        <v>8.3030000000000008</v>
      </c>
      <c r="E26" s="12">
        <f t="shared" si="0"/>
        <v>1.4947350000000008</v>
      </c>
    </row>
    <row r="27" spans="1:6" x14ac:dyDescent="0.35">
      <c r="A27" s="109"/>
      <c r="B27" s="12">
        <v>2</v>
      </c>
      <c r="C27" s="12">
        <f t="shared" si="3"/>
        <v>91.34600000000006</v>
      </c>
      <c r="D27" s="12">
        <f t="shared" si="2"/>
        <v>8.3030000000000008</v>
      </c>
      <c r="E27" s="12">
        <f t="shared" si="0"/>
        <v>1.3701900000000009</v>
      </c>
    </row>
    <row r="28" spans="1:6" x14ac:dyDescent="0.35">
      <c r="A28" s="109"/>
      <c r="B28" s="12">
        <v>3</v>
      </c>
      <c r="C28" s="12">
        <f t="shared" si="3"/>
        <v>83.043000000000063</v>
      </c>
      <c r="D28" s="12">
        <f t="shared" si="2"/>
        <v>8.3030000000000008</v>
      </c>
      <c r="E28" s="12">
        <f t="shared" si="0"/>
        <v>1.245645000000001</v>
      </c>
    </row>
    <row r="29" spans="1:6" x14ac:dyDescent="0.35">
      <c r="A29" s="109"/>
      <c r="B29" s="12">
        <v>4</v>
      </c>
      <c r="C29" s="12">
        <f t="shared" si="3"/>
        <v>74.740000000000066</v>
      </c>
      <c r="D29" s="12">
        <f t="shared" si="2"/>
        <v>8.3030000000000008</v>
      </c>
      <c r="E29" s="12">
        <f t="shared" si="0"/>
        <v>1.1211000000000009</v>
      </c>
    </row>
    <row r="30" spans="1:6" x14ac:dyDescent="0.35">
      <c r="A30" s="109">
        <v>6</v>
      </c>
      <c r="B30" s="12">
        <v>1</v>
      </c>
      <c r="C30" s="12">
        <f t="shared" si="3"/>
        <v>66.437000000000069</v>
      </c>
      <c r="D30" s="12">
        <f t="shared" si="2"/>
        <v>8.3030000000000008</v>
      </c>
      <c r="E30" s="12">
        <f t="shared" si="0"/>
        <v>0.99655500000000097</v>
      </c>
    </row>
    <row r="31" spans="1:6" x14ac:dyDescent="0.35">
      <c r="A31" s="109"/>
      <c r="B31" s="12">
        <v>2</v>
      </c>
      <c r="C31" s="12">
        <f t="shared" si="3"/>
        <v>58.134000000000071</v>
      </c>
      <c r="D31" s="12">
        <v>5.4855</v>
      </c>
      <c r="E31" s="12">
        <f t="shared" si="0"/>
        <v>0.87201000000000106</v>
      </c>
      <c r="F31" s="101"/>
    </row>
    <row r="32" spans="1:6" x14ac:dyDescent="0.35">
      <c r="A32" s="109"/>
      <c r="B32" s="12">
        <v>3</v>
      </c>
      <c r="C32" s="12">
        <f t="shared" si="3"/>
        <v>52.64850000000007</v>
      </c>
      <c r="D32" s="12">
        <v>0</v>
      </c>
      <c r="E32" s="12">
        <v>0</v>
      </c>
    </row>
    <row r="33" spans="1:5" x14ac:dyDescent="0.35">
      <c r="A33" s="109"/>
      <c r="B33" s="12">
        <v>4</v>
      </c>
      <c r="C33" s="12">
        <v>0</v>
      </c>
      <c r="D33" s="12">
        <f t="shared" si="2"/>
        <v>0</v>
      </c>
      <c r="E33" s="12">
        <f t="shared" si="0"/>
        <v>0</v>
      </c>
    </row>
    <row r="34" spans="1:5" x14ac:dyDescent="0.35">
      <c r="A34" s="109">
        <v>7</v>
      </c>
      <c r="B34" s="12">
        <v>1</v>
      </c>
      <c r="C34" s="12">
        <f t="shared" si="3"/>
        <v>0</v>
      </c>
      <c r="D34" s="12">
        <f t="shared" si="2"/>
        <v>0</v>
      </c>
      <c r="E34" s="12">
        <f t="shared" si="0"/>
        <v>0</v>
      </c>
    </row>
    <row r="35" spans="1:5" x14ac:dyDescent="0.35">
      <c r="A35" s="109"/>
      <c r="B35" s="12">
        <v>2</v>
      </c>
      <c r="C35" s="12">
        <f t="shared" si="3"/>
        <v>0</v>
      </c>
      <c r="D35" s="12">
        <f t="shared" si="2"/>
        <v>0</v>
      </c>
      <c r="E35" s="12">
        <f t="shared" si="0"/>
        <v>0</v>
      </c>
    </row>
    <row r="36" spans="1:5" x14ac:dyDescent="0.35">
      <c r="A36" s="109"/>
      <c r="B36" s="12">
        <v>3</v>
      </c>
      <c r="C36" s="12">
        <f t="shared" si="3"/>
        <v>0</v>
      </c>
      <c r="D36" s="12">
        <f t="shared" si="2"/>
        <v>0</v>
      </c>
      <c r="E36" s="12">
        <f t="shared" si="0"/>
        <v>0</v>
      </c>
    </row>
    <row r="37" spans="1:5" x14ac:dyDescent="0.35">
      <c r="A37" s="109"/>
      <c r="B37" s="12">
        <v>4</v>
      </c>
      <c r="C37" s="12">
        <f t="shared" si="3"/>
        <v>0</v>
      </c>
      <c r="D37" s="65">
        <v>0</v>
      </c>
      <c r="E37" s="12">
        <f t="shared" si="0"/>
        <v>0</v>
      </c>
    </row>
    <row r="39" spans="1:5" ht="73.5" customHeight="1" x14ac:dyDescent="0.35">
      <c r="A39" s="108" t="s">
        <v>299</v>
      </c>
      <c r="B39" s="108"/>
      <c r="C39" s="108"/>
      <c r="D39" s="108"/>
      <c r="E39" s="108"/>
    </row>
    <row r="40" spans="1:5" ht="58.5" customHeight="1" x14ac:dyDescent="0.35">
      <c r="A40" s="108" t="s">
        <v>300</v>
      </c>
      <c r="B40" s="108"/>
      <c r="C40" s="108"/>
      <c r="D40" s="108"/>
      <c r="E40" s="108"/>
    </row>
  </sheetData>
  <mergeCells count="9">
    <mergeCell ref="A39:E39"/>
    <mergeCell ref="A40:E40"/>
    <mergeCell ref="A34:A37"/>
    <mergeCell ref="A10:A13"/>
    <mergeCell ref="A14:A17"/>
    <mergeCell ref="A18:A21"/>
    <mergeCell ref="A22:A25"/>
    <mergeCell ref="A26:A29"/>
    <mergeCell ref="A30:A33"/>
  </mergeCells>
  <pageMargins left="0.7" right="0.7" top="0.75" bottom="0.75" header="0.3" footer="0.3"/>
  <pageSetup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ADB1-212F-431E-A926-791FC9CE0F57}">
  <sheetPr>
    <pageSetUpPr fitToPage="1"/>
  </sheetPr>
  <dimension ref="A1:K28"/>
  <sheetViews>
    <sheetView workbookViewId="0">
      <selection activeCell="B22" sqref="B22"/>
    </sheetView>
  </sheetViews>
  <sheetFormatPr defaultRowHeight="14.5" x14ac:dyDescent="0.35"/>
  <cols>
    <col min="1" max="1" width="26.08984375" bestFit="1" customWidth="1"/>
    <col min="2" max="2" width="17.08984375" bestFit="1" customWidth="1"/>
    <col min="3" max="10" width="14.54296875" bestFit="1" customWidth="1"/>
    <col min="11" max="11" width="12.54296875" bestFit="1" customWidth="1"/>
  </cols>
  <sheetData>
    <row r="1" spans="1:10" x14ac:dyDescent="0.35">
      <c r="A1" s="22" t="s">
        <v>178</v>
      </c>
    </row>
    <row r="2" spans="1:10" x14ac:dyDescent="0.35">
      <c r="B2" s="107" t="s">
        <v>48</v>
      </c>
      <c r="C2" s="107"/>
      <c r="D2" s="107"/>
      <c r="E2" s="107"/>
      <c r="F2" s="107"/>
      <c r="G2" s="107"/>
      <c r="H2" s="107"/>
      <c r="I2" s="107"/>
      <c r="J2" s="107"/>
    </row>
    <row r="3" spans="1:10" x14ac:dyDescent="0.35">
      <c r="A3" s="12"/>
      <c r="B3" s="93" t="s">
        <v>39</v>
      </c>
      <c r="C3" s="93" t="s">
        <v>40</v>
      </c>
      <c r="D3" s="93" t="s">
        <v>41</v>
      </c>
      <c r="E3" s="93" t="s">
        <v>42</v>
      </c>
      <c r="F3" s="93" t="s">
        <v>43</v>
      </c>
      <c r="G3" s="93" t="s">
        <v>44</v>
      </c>
      <c r="H3" s="93" t="s">
        <v>45</v>
      </c>
      <c r="I3" s="93" t="s">
        <v>46</v>
      </c>
      <c r="J3" s="93" t="s">
        <v>47</v>
      </c>
    </row>
    <row r="4" spans="1:10" x14ac:dyDescent="0.35">
      <c r="A4" s="12" t="s">
        <v>179</v>
      </c>
      <c r="B4" s="73">
        <v>0.7</v>
      </c>
      <c r="C4" s="73">
        <v>0.75</v>
      </c>
      <c r="D4" s="73">
        <v>0.8</v>
      </c>
      <c r="E4" s="73">
        <v>0.85</v>
      </c>
      <c r="F4" s="73">
        <v>0.9</v>
      </c>
      <c r="G4" s="73">
        <v>0.95</v>
      </c>
      <c r="H4" s="73">
        <v>1</v>
      </c>
      <c r="I4" s="73">
        <v>1</v>
      </c>
      <c r="J4" s="73">
        <v>1</v>
      </c>
    </row>
    <row r="5" spans="1:10" x14ac:dyDescent="0.35">
      <c r="A5" s="12" t="s">
        <v>198</v>
      </c>
      <c r="B5" s="74">
        <f t="shared" ref="B5:J5" si="0">$B$16*B4</f>
        <v>201600000</v>
      </c>
      <c r="C5" s="74">
        <f t="shared" si="0"/>
        <v>216000000</v>
      </c>
      <c r="D5" s="74">
        <f t="shared" si="0"/>
        <v>230400000</v>
      </c>
      <c r="E5" s="74">
        <f t="shared" si="0"/>
        <v>244800000</v>
      </c>
      <c r="F5" s="74">
        <f t="shared" si="0"/>
        <v>259200000</v>
      </c>
      <c r="G5" s="74">
        <f t="shared" si="0"/>
        <v>273600000</v>
      </c>
      <c r="H5" s="74">
        <f t="shared" si="0"/>
        <v>288000000</v>
      </c>
      <c r="I5" s="74">
        <f t="shared" si="0"/>
        <v>288000000</v>
      </c>
      <c r="J5" s="74">
        <f t="shared" si="0"/>
        <v>288000000</v>
      </c>
    </row>
    <row r="6" spans="1:10" x14ac:dyDescent="0.35">
      <c r="A6" s="12" t="s">
        <v>180</v>
      </c>
      <c r="B6" s="74">
        <f>B5*99%</f>
        <v>199584000</v>
      </c>
      <c r="C6" s="74">
        <f t="shared" ref="C6:E6" si="1">C5*99%</f>
        <v>213840000</v>
      </c>
      <c r="D6" s="74">
        <f t="shared" si="1"/>
        <v>228096000</v>
      </c>
      <c r="E6" s="74">
        <f t="shared" si="1"/>
        <v>242352000</v>
      </c>
      <c r="F6" s="74">
        <f>MIN(F5*101%,F22)</f>
        <v>261792000</v>
      </c>
      <c r="G6" s="74">
        <f>MIN(G5*101%,G22)</f>
        <v>276336000</v>
      </c>
      <c r="H6" s="74">
        <f>MIN(H5*101%,H22)</f>
        <v>290880000</v>
      </c>
      <c r="I6" s="74">
        <f>MIN(I5*101%,I22)</f>
        <v>288720000</v>
      </c>
      <c r="J6" s="74">
        <f>MIN(J5*101%,J22)</f>
        <v>288000000</v>
      </c>
    </row>
    <row r="7" spans="1:10" x14ac:dyDescent="0.35">
      <c r="A7" s="12" t="s">
        <v>50</v>
      </c>
      <c r="B7" s="74">
        <f>B5*C16</f>
        <v>4032000000</v>
      </c>
      <c r="C7" s="74">
        <f>B7*1.06</f>
        <v>4273920000</v>
      </c>
      <c r="D7" s="74">
        <f t="shared" ref="D7:J7" si="2">C7*1.06</f>
        <v>4530355200</v>
      </c>
      <c r="E7" s="74">
        <f t="shared" si="2"/>
        <v>4802176512</v>
      </c>
      <c r="F7" s="74">
        <f t="shared" si="2"/>
        <v>5090307102.7200003</v>
      </c>
      <c r="G7" s="74">
        <f t="shared" si="2"/>
        <v>5395725528.8832006</v>
      </c>
      <c r="H7" s="74">
        <f t="shared" si="2"/>
        <v>5719469060.6161928</v>
      </c>
      <c r="I7" s="74">
        <f t="shared" si="2"/>
        <v>6062637204.2531643</v>
      </c>
      <c r="J7" s="74">
        <f t="shared" si="2"/>
        <v>6426395436.5083542</v>
      </c>
    </row>
    <row r="8" spans="1:10" x14ac:dyDescent="0.35">
      <c r="B8" s="2"/>
      <c r="C8" s="2"/>
      <c r="D8" s="2"/>
      <c r="E8" s="2"/>
      <c r="F8" s="2"/>
      <c r="G8" s="2"/>
      <c r="H8" s="2"/>
      <c r="I8" s="2"/>
      <c r="J8" s="2"/>
    </row>
    <row r="9" spans="1:10" x14ac:dyDescent="0.35">
      <c r="A9" s="22" t="s">
        <v>181</v>
      </c>
    </row>
    <row r="11" spans="1:10" x14ac:dyDescent="0.35">
      <c r="A11" t="s">
        <v>182</v>
      </c>
      <c r="B11">
        <v>100000</v>
      </c>
      <c r="C11" t="s">
        <v>183</v>
      </c>
    </row>
    <row r="12" spans="1:10" x14ac:dyDescent="0.35">
      <c r="A12" t="s">
        <v>184</v>
      </c>
      <c r="B12">
        <f>360*8</f>
        <v>2880</v>
      </c>
      <c r="C12" t="s">
        <v>185</v>
      </c>
    </row>
    <row r="13" spans="1:10" x14ac:dyDescent="0.35">
      <c r="A13" t="s">
        <v>186</v>
      </c>
      <c r="B13" s="15">
        <f>B12*B11</f>
        <v>288000000</v>
      </c>
      <c r="C13" t="s">
        <v>187</v>
      </c>
    </row>
    <row r="15" spans="1:10" s="71" customFormat="1" ht="43.5" x14ac:dyDescent="0.35">
      <c r="A15" s="69" t="s">
        <v>188</v>
      </c>
      <c r="B15" s="70" t="s">
        <v>189</v>
      </c>
      <c r="C15" s="70" t="s">
        <v>190</v>
      </c>
      <c r="D15" s="70" t="s">
        <v>191</v>
      </c>
    </row>
    <row r="16" spans="1:10" s="71" customFormat="1" x14ac:dyDescent="0.35">
      <c r="A16" s="69" t="s">
        <v>197</v>
      </c>
      <c r="B16" s="75">
        <f>B13</f>
        <v>288000000</v>
      </c>
      <c r="C16" s="76">
        <v>20</v>
      </c>
      <c r="D16" s="76">
        <v>18</v>
      </c>
      <c r="E16" s="72"/>
    </row>
    <row r="18" spans="1:11" x14ac:dyDescent="0.35">
      <c r="A18" s="88" t="s">
        <v>209</v>
      </c>
      <c r="B18" s="110" t="s">
        <v>48</v>
      </c>
      <c r="C18" s="110"/>
      <c r="D18" s="110"/>
      <c r="E18" s="110"/>
      <c r="F18" s="110"/>
      <c r="G18" s="110"/>
      <c r="H18" s="110"/>
      <c r="I18" s="110"/>
      <c r="J18" s="110"/>
      <c r="K18" s="94"/>
    </row>
    <row r="19" spans="1:11" x14ac:dyDescent="0.35">
      <c r="A19" s="12"/>
      <c r="B19" s="93" t="s">
        <v>39</v>
      </c>
      <c r="C19" s="93" t="s">
        <v>40</v>
      </c>
      <c r="D19" s="93" t="s">
        <v>41</v>
      </c>
      <c r="E19" s="93" t="s">
        <v>42</v>
      </c>
      <c r="F19" s="93" t="s">
        <v>43</v>
      </c>
      <c r="G19" s="93" t="s">
        <v>44</v>
      </c>
      <c r="H19" s="93" t="s">
        <v>45</v>
      </c>
      <c r="I19" s="93" t="s">
        <v>46</v>
      </c>
      <c r="J19" s="93" t="s">
        <v>47</v>
      </c>
    </row>
    <row r="20" spans="1:11" x14ac:dyDescent="0.35">
      <c r="A20" s="12" t="s">
        <v>192</v>
      </c>
      <c r="B20" s="40">
        <v>0</v>
      </c>
      <c r="C20" s="40">
        <f>B24</f>
        <v>2016000</v>
      </c>
      <c r="D20" s="40">
        <f t="shared" ref="D20:J20" si="3">C24</f>
        <v>4176000</v>
      </c>
      <c r="E20" s="40">
        <f t="shared" si="3"/>
        <v>6480000</v>
      </c>
      <c r="F20" s="40">
        <f t="shared" si="3"/>
        <v>8928000</v>
      </c>
      <c r="G20" s="40">
        <f t="shared" si="3"/>
        <v>6336000</v>
      </c>
      <c r="H20" s="40">
        <f t="shared" si="3"/>
        <v>3600000</v>
      </c>
      <c r="I20" s="40">
        <f t="shared" si="3"/>
        <v>720000</v>
      </c>
      <c r="J20" s="40">
        <f t="shared" si="3"/>
        <v>0</v>
      </c>
    </row>
    <row r="21" spans="1:11" x14ac:dyDescent="0.35">
      <c r="A21" s="12" t="s">
        <v>193</v>
      </c>
      <c r="B21" s="40">
        <f t="shared" ref="B21:J21" si="4">B5</f>
        <v>201600000</v>
      </c>
      <c r="C21" s="40">
        <f t="shared" si="4"/>
        <v>216000000</v>
      </c>
      <c r="D21" s="40">
        <f t="shared" si="4"/>
        <v>230400000</v>
      </c>
      <c r="E21" s="40">
        <f t="shared" si="4"/>
        <v>244800000</v>
      </c>
      <c r="F21" s="40">
        <f t="shared" si="4"/>
        <v>259200000</v>
      </c>
      <c r="G21" s="40">
        <f t="shared" si="4"/>
        <v>273600000</v>
      </c>
      <c r="H21" s="40">
        <f t="shared" si="4"/>
        <v>288000000</v>
      </c>
      <c r="I21" s="40">
        <f t="shared" si="4"/>
        <v>288000000</v>
      </c>
      <c r="J21" s="40">
        <f t="shared" si="4"/>
        <v>288000000</v>
      </c>
    </row>
    <row r="22" spans="1:11" x14ac:dyDescent="0.35">
      <c r="A22" s="12" t="s">
        <v>237</v>
      </c>
      <c r="B22" s="40">
        <f>SUM(B20:B21)</f>
        <v>201600000</v>
      </c>
      <c r="C22" s="40">
        <f t="shared" ref="C22:J22" si="5">SUM(C20:C21)</f>
        <v>218016000</v>
      </c>
      <c r="D22" s="40">
        <f t="shared" si="5"/>
        <v>234576000</v>
      </c>
      <c r="E22" s="40">
        <f t="shared" si="5"/>
        <v>251280000</v>
      </c>
      <c r="F22" s="40">
        <f t="shared" si="5"/>
        <v>268128000</v>
      </c>
      <c r="G22" s="40">
        <f t="shared" si="5"/>
        <v>279936000</v>
      </c>
      <c r="H22" s="40">
        <f t="shared" si="5"/>
        <v>291600000</v>
      </c>
      <c r="I22" s="40">
        <f t="shared" si="5"/>
        <v>288720000</v>
      </c>
      <c r="J22" s="40">
        <f t="shared" si="5"/>
        <v>288000000</v>
      </c>
    </row>
    <row r="23" spans="1:11" x14ac:dyDescent="0.35">
      <c r="A23" s="12" t="s">
        <v>194</v>
      </c>
      <c r="B23" s="40">
        <f t="shared" ref="B23:J23" si="6">B6</f>
        <v>199584000</v>
      </c>
      <c r="C23" s="40">
        <f t="shared" si="6"/>
        <v>213840000</v>
      </c>
      <c r="D23" s="40">
        <f t="shared" si="6"/>
        <v>228096000</v>
      </c>
      <c r="E23" s="40">
        <f t="shared" si="6"/>
        <v>242352000</v>
      </c>
      <c r="F23" s="40">
        <f t="shared" si="6"/>
        <v>261792000</v>
      </c>
      <c r="G23" s="40">
        <f t="shared" si="6"/>
        <v>276336000</v>
      </c>
      <c r="H23" s="40">
        <f t="shared" si="6"/>
        <v>290880000</v>
      </c>
      <c r="I23" s="40">
        <f t="shared" si="6"/>
        <v>288720000</v>
      </c>
      <c r="J23" s="40">
        <f t="shared" si="6"/>
        <v>288000000</v>
      </c>
    </row>
    <row r="24" spans="1:11" x14ac:dyDescent="0.35">
      <c r="A24" s="12" t="s">
        <v>195</v>
      </c>
      <c r="B24" s="40">
        <f>B20+B21-B23</f>
        <v>2016000</v>
      </c>
      <c r="C24" s="40">
        <f t="shared" ref="C24:J24" si="7">C20+C21-C23</f>
        <v>4176000</v>
      </c>
      <c r="D24" s="40">
        <f t="shared" si="7"/>
        <v>6480000</v>
      </c>
      <c r="E24" s="40">
        <f t="shared" si="7"/>
        <v>8928000</v>
      </c>
      <c r="F24" s="40">
        <f t="shared" si="7"/>
        <v>6336000</v>
      </c>
      <c r="G24" s="40">
        <f t="shared" si="7"/>
        <v>3600000</v>
      </c>
      <c r="H24" s="40">
        <f t="shared" si="7"/>
        <v>720000</v>
      </c>
      <c r="I24" s="40">
        <f t="shared" si="7"/>
        <v>0</v>
      </c>
      <c r="J24" s="40">
        <f t="shared" si="7"/>
        <v>0</v>
      </c>
    </row>
    <row r="26" spans="1:11" x14ac:dyDescent="0.35">
      <c r="A26" t="s">
        <v>196</v>
      </c>
    </row>
    <row r="27" spans="1:11" x14ac:dyDescent="0.35">
      <c r="A27" t="s">
        <v>288</v>
      </c>
    </row>
    <row r="28" spans="1:11" x14ac:dyDescent="0.35">
      <c r="A28" t="s">
        <v>238</v>
      </c>
    </row>
  </sheetData>
  <mergeCells count="2">
    <mergeCell ref="B2:J2"/>
    <mergeCell ref="B18:J18"/>
  </mergeCells>
  <pageMargins left="0.7" right="0.7" top="0.75" bottom="0.75" header="0.3" footer="0.3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1C3B-78D2-43F9-ABE8-F6A84BAA4AE1}">
  <sheetPr>
    <pageSetUpPr fitToPage="1"/>
  </sheetPr>
  <dimension ref="A1:L30"/>
  <sheetViews>
    <sheetView tabSelected="1" workbookViewId="0">
      <selection activeCell="B19" sqref="B19"/>
    </sheetView>
  </sheetViews>
  <sheetFormatPr defaultRowHeight="14.5" x14ac:dyDescent="0.35"/>
  <cols>
    <col min="1" max="1" width="41.1796875" style="68" bestFit="1" customWidth="1"/>
    <col min="2" max="2" width="14.7265625" style="68" customWidth="1"/>
    <col min="3" max="11" width="14.7265625" style="68" bestFit="1" customWidth="1"/>
    <col min="12" max="12" width="13.6328125" style="68" bestFit="1" customWidth="1"/>
    <col min="13" max="16384" width="8.7265625" style="68"/>
  </cols>
  <sheetData>
    <row r="1" spans="1:11" x14ac:dyDescent="0.35">
      <c r="A1" s="84" t="s">
        <v>213</v>
      </c>
      <c r="B1" s="84"/>
    </row>
    <row r="2" spans="1:11" x14ac:dyDescent="0.35">
      <c r="A2" s="84"/>
      <c r="B2" s="84"/>
    </row>
    <row r="3" spans="1:11" x14ac:dyDescent="0.35">
      <c r="A3" s="85" t="s">
        <v>3</v>
      </c>
      <c r="B3" s="85">
        <v>0</v>
      </c>
      <c r="C3" s="85" t="s">
        <v>39</v>
      </c>
      <c r="D3" s="85" t="s">
        <v>40</v>
      </c>
      <c r="E3" s="85" t="s">
        <v>41</v>
      </c>
      <c r="F3" s="85" t="s">
        <v>42</v>
      </c>
      <c r="G3" s="85" t="s">
        <v>43</v>
      </c>
      <c r="H3" s="85" t="s">
        <v>44</v>
      </c>
      <c r="I3" s="85" t="s">
        <v>45</v>
      </c>
      <c r="J3" s="85" t="s">
        <v>46</v>
      </c>
      <c r="K3" s="85" t="s">
        <v>47</v>
      </c>
    </row>
    <row r="4" spans="1:11" x14ac:dyDescent="0.35">
      <c r="A4" s="86" t="s">
        <v>171</v>
      </c>
      <c r="B4" s="87">
        <v>10000000</v>
      </c>
      <c r="C4" s="87">
        <f>B19</f>
        <v>0</v>
      </c>
      <c r="D4" s="87">
        <f>C19</f>
        <v>274106174.75</v>
      </c>
      <c r="E4" s="87">
        <f t="shared" ref="E4:K4" si="0">D19</f>
        <v>271584041.94</v>
      </c>
      <c r="F4" s="87">
        <f t="shared" si="0"/>
        <v>261953724.62049955</v>
      </c>
      <c r="G4" s="87">
        <f t="shared" si="0"/>
        <v>247330916.5315246</v>
      </c>
      <c r="H4" s="87">
        <f t="shared" si="0"/>
        <v>318390442.88237554</v>
      </c>
      <c r="I4" s="87">
        <f t="shared" si="0"/>
        <v>391720214.99801201</v>
      </c>
      <c r="J4" s="87">
        <f t="shared" si="0"/>
        <v>477660313.30295527</v>
      </c>
      <c r="K4" s="87">
        <f t="shared" si="0"/>
        <v>528952508.66705215</v>
      </c>
    </row>
    <row r="5" spans="1:11" x14ac:dyDescent="0.35">
      <c r="A5" s="86" t="s">
        <v>258</v>
      </c>
      <c r="B5" s="87">
        <f>'Ann 5'!C18</f>
        <v>3509899.9999999995</v>
      </c>
      <c r="C5" s="87">
        <v>0</v>
      </c>
      <c r="D5" s="87">
        <v>0</v>
      </c>
      <c r="E5" s="87">
        <v>0</v>
      </c>
      <c r="F5" s="87">
        <v>0</v>
      </c>
      <c r="G5" s="87">
        <v>0</v>
      </c>
      <c r="H5" s="87">
        <v>0</v>
      </c>
      <c r="I5" s="87">
        <v>0</v>
      </c>
      <c r="J5" s="87">
        <v>0</v>
      </c>
      <c r="K5" s="87">
        <v>0</v>
      </c>
    </row>
    <row r="6" spans="1:11" x14ac:dyDescent="0.35">
      <c r="A6" s="86" t="s">
        <v>259</v>
      </c>
      <c r="B6" s="87">
        <f>'Ann 2'!C6*100000</f>
        <v>21589100.000000004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87">
        <v>0</v>
      </c>
      <c r="I6" s="87">
        <v>0</v>
      </c>
      <c r="J6" s="87">
        <v>0</v>
      </c>
      <c r="K6" s="87">
        <v>0</v>
      </c>
    </row>
    <row r="7" spans="1:11" x14ac:dyDescent="0.35">
      <c r="A7" s="86" t="s">
        <v>260</v>
      </c>
      <c r="B7" s="87">
        <f>'Ann 9'!F6*100000</f>
        <v>25099000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</row>
    <row r="8" spans="1:11" x14ac:dyDescent="0.35">
      <c r="A8" s="86" t="s">
        <v>172</v>
      </c>
      <c r="B8" s="87">
        <v>0</v>
      </c>
      <c r="C8" s="87">
        <f>'Ann 4'!C21-'Ann 5'!C13</f>
        <v>3696000000</v>
      </c>
      <c r="D8" s="87">
        <f>'Ann 4'!D21-'Ann 5'!D13</f>
        <v>3917760000</v>
      </c>
      <c r="E8" s="87">
        <f>'Ann 4'!E21-'Ann 5'!E13</f>
        <v>4152825600</v>
      </c>
      <c r="F8" s="87">
        <f>'Ann 4'!F21-'Ann 5'!F13</f>
        <v>4401995136</v>
      </c>
      <c r="G8" s="87">
        <f>'Ann 4'!G21-'Ann 5'!G13</f>
        <v>4666114844.1599998</v>
      </c>
      <c r="H8" s="87">
        <f>'Ann 4'!H21-'Ann 5'!H13</f>
        <v>4946081734.8096008</v>
      </c>
      <c r="I8" s="87">
        <f>'Ann 4'!I21-'Ann 5'!I13</f>
        <v>5242846638.8981771</v>
      </c>
      <c r="J8" s="87">
        <f>'Ann 4'!J21-'Ann 5'!J13</f>
        <v>5557417437.2320671</v>
      </c>
      <c r="K8" s="87">
        <f>'Ann 4'!K21-'Ann 5'!K13</f>
        <v>5890862483.465991</v>
      </c>
    </row>
    <row r="9" spans="1:11" x14ac:dyDescent="0.35">
      <c r="A9" s="86" t="s">
        <v>214</v>
      </c>
      <c r="B9" s="87">
        <v>0</v>
      </c>
      <c r="C9" s="87">
        <v>0</v>
      </c>
      <c r="D9" s="87">
        <f>'Ann 5'!C24</f>
        <v>616896000</v>
      </c>
      <c r="E9" s="87">
        <f>'Ann 5'!D24</f>
        <v>660960000</v>
      </c>
      <c r="F9" s="87">
        <f>'Ann 5'!E24</f>
        <v>705024000</v>
      </c>
      <c r="G9" s="87">
        <f>'Ann 5'!F24</f>
        <v>749088000</v>
      </c>
      <c r="H9" s="87">
        <f>'Ann 5'!G24</f>
        <v>793152000</v>
      </c>
      <c r="I9" s="87">
        <f>'Ann 5'!H24</f>
        <v>837216000</v>
      </c>
      <c r="J9" s="87">
        <f>'Ann 5'!I24</f>
        <v>881280000</v>
      </c>
      <c r="K9" s="87">
        <f>'Ann 5'!J24</f>
        <v>881280000</v>
      </c>
    </row>
    <row r="10" spans="1:11" x14ac:dyDescent="0.35">
      <c r="A10" s="86" t="s">
        <v>215</v>
      </c>
      <c r="B10" s="87">
        <v>0</v>
      </c>
      <c r="C10" s="87">
        <v>0</v>
      </c>
      <c r="D10" s="87">
        <f>'Ann 5'!C13</f>
        <v>336000000</v>
      </c>
      <c r="E10" s="87">
        <f>'Ann 5'!D13</f>
        <v>356160000</v>
      </c>
      <c r="F10" s="87">
        <f>'Ann 5'!E13</f>
        <v>377529600</v>
      </c>
      <c r="G10" s="87">
        <f>'Ann 5'!F13</f>
        <v>400181376</v>
      </c>
      <c r="H10" s="87">
        <f>'Ann 5'!G13</f>
        <v>424192258.56</v>
      </c>
      <c r="I10" s="87">
        <f>'Ann 5'!H13</f>
        <v>449643794.07360011</v>
      </c>
      <c r="J10" s="87">
        <f>'Ann 5'!I13</f>
        <v>476622421.71801603</v>
      </c>
      <c r="K10" s="87">
        <f>'Ann 5'!J13</f>
        <v>505219767.02109706</v>
      </c>
    </row>
    <row r="11" spans="1:11" x14ac:dyDescent="0.35">
      <c r="A11" s="86" t="s">
        <v>216</v>
      </c>
      <c r="B11" s="87">
        <v>0</v>
      </c>
      <c r="C11" s="87">
        <f>'Ann 4'!C10+'Ann 4'!C18-'Ann 5'!C24</f>
        <v>3291550496</v>
      </c>
      <c r="D11" s="87">
        <f>'Ann 4'!D10+'Ann 4'!D18-'Ann 5'!D24</f>
        <v>3526573136</v>
      </c>
      <c r="E11" s="87">
        <f>'Ann 4'!E10+'Ann 4'!E18-'Ann 5'!E24</f>
        <v>3761604888.8000002</v>
      </c>
      <c r="F11" s="87">
        <f>'Ann 4'!F10+'Ann 4'!F18-'Ann 5'!F24</f>
        <v>3996646210.04</v>
      </c>
      <c r="G11" s="87">
        <f>'Ann 4'!G10+'Ann 4'!G18-'Ann 5'!G24</f>
        <v>4236881578.1420002</v>
      </c>
      <c r="H11" s="87">
        <f>'Ann 4'!H10+'Ann 4'!H18-'Ann 5'!H24</f>
        <v>4472231495.4490995</v>
      </c>
      <c r="I11" s="87">
        <f>'Ann 4'!I10+'Ann 4'!I18-'Ann 5'!I24</f>
        <v>4707592489.4215555</v>
      </c>
      <c r="J11" s="87">
        <f>'Ann 4'!J10+'Ann 4'!J18-'Ann 5'!J24</f>
        <v>4705564161.8588209</v>
      </c>
      <c r="K11" s="87">
        <f>'Ann 4'!K10+'Ann 4'!K18-'Ann 5'!K24</f>
        <v>4704982417.9179497</v>
      </c>
    </row>
    <row r="12" spans="1:11" x14ac:dyDescent="0.35">
      <c r="A12" s="86" t="s">
        <v>173</v>
      </c>
      <c r="B12" s="87">
        <v>0</v>
      </c>
      <c r="C12" s="87">
        <f>'Ann 4'!C27</f>
        <v>2282891.5</v>
      </c>
      <c r="D12" s="87">
        <f>'Ann 4'!D27</f>
        <v>2120983</v>
      </c>
      <c r="E12" s="87">
        <f>'Ann 4'!E27</f>
        <v>1921711.0000000005</v>
      </c>
      <c r="F12" s="87">
        <f>'Ann 4'!F27</f>
        <v>1722439.0000000002</v>
      </c>
      <c r="G12" s="87">
        <f>'Ann 4'!G27</f>
        <v>1523167.0000000005</v>
      </c>
      <c r="H12" s="87">
        <f>'Ann 4'!H27</f>
        <v>1186856.5000000002</v>
      </c>
      <c r="I12" s="87">
        <f>'Ann 4'!I27</f>
        <v>1000000</v>
      </c>
      <c r="J12" s="87">
        <f>'Ann 4'!J27</f>
        <v>1000000</v>
      </c>
      <c r="K12" s="87">
        <f>'Ann 4'!K27</f>
        <v>1000000</v>
      </c>
    </row>
    <row r="13" spans="1:11" x14ac:dyDescent="0.35">
      <c r="A13" s="86"/>
      <c r="B13" s="87">
        <v>0</v>
      </c>
      <c r="C13" s="87">
        <f>B4+C8-C9+C10-C11-C12+B5+B6-B7</f>
        <v>412166612.5</v>
      </c>
      <c r="D13" s="87">
        <f t="shared" ref="D13:K13" si="1">D4+D8-D9+D10-D11-D12+D5+D6-D7</f>
        <v>382276055.75</v>
      </c>
      <c r="E13" s="87">
        <f t="shared" si="1"/>
        <v>356083042.13999939</v>
      </c>
      <c r="F13" s="87">
        <f t="shared" si="1"/>
        <v>338085811.58049965</v>
      </c>
      <c r="G13" s="87">
        <f t="shared" si="1"/>
        <v>326134391.54952431</v>
      </c>
      <c r="H13" s="87">
        <f t="shared" si="1"/>
        <v>422094084.30287743</v>
      </c>
      <c r="I13" s="87">
        <f t="shared" si="1"/>
        <v>538402158.54823303</v>
      </c>
      <c r="J13" s="87">
        <f t="shared" si="1"/>
        <v>923856010.39421749</v>
      </c>
      <c r="K13" s="87">
        <f t="shared" si="1"/>
        <v>1337772341.2361908</v>
      </c>
    </row>
    <row r="14" spans="1:11" x14ac:dyDescent="0.35">
      <c r="A14" s="86" t="s">
        <v>218</v>
      </c>
      <c r="B14" s="87">
        <v>0</v>
      </c>
      <c r="C14" s="87">
        <f>'Ann 4'!C34</f>
        <v>47581338.75</v>
      </c>
      <c r="D14" s="87">
        <f>'Ann 4'!D34</f>
        <v>37454935.049999997</v>
      </c>
      <c r="E14" s="87">
        <f>'Ann 4'!E34</f>
        <v>31677250.29749994</v>
      </c>
      <c r="F14" s="87">
        <f>'Ann 4'!F34</f>
        <v>30500126.179875012</v>
      </c>
      <c r="G14" s="87">
        <f>'Ann 4'!G34</f>
        <v>1542819.3024937704</v>
      </c>
      <c r="H14" s="87">
        <f>'Ann 4'!H34</f>
        <v>8645281.1528600194</v>
      </c>
      <c r="I14" s="87">
        <f>'Ann 4'!I34</f>
        <v>21189015.783236422</v>
      </c>
      <c r="J14" s="87">
        <f>'Ann 4'!J34</f>
        <v>137757035.48622045</v>
      </c>
      <c r="K14" s="87">
        <f>'Ann 4'!K34</f>
        <v>251421986.43597028</v>
      </c>
    </row>
    <row r="15" spans="1:11" x14ac:dyDescent="0.35">
      <c r="A15" s="86"/>
      <c r="B15" s="87">
        <v>0</v>
      </c>
      <c r="C15" s="87">
        <f>C13-C14</f>
        <v>364585273.75</v>
      </c>
      <c r="D15" s="87">
        <f t="shared" ref="D15:K15" si="2">D13-D14</f>
        <v>344821120.69999999</v>
      </c>
      <c r="E15" s="87">
        <f t="shared" si="2"/>
        <v>324405791.84249943</v>
      </c>
      <c r="F15" s="87">
        <f t="shared" si="2"/>
        <v>307585685.40062463</v>
      </c>
      <c r="G15" s="87">
        <f t="shared" si="2"/>
        <v>324591572.24703056</v>
      </c>
      <c r="H15" s="87">
        <f t="shared" si="2"/>
        <v>413448803.15001738</v>
      </c>
      <c r="I15" s="87">
        <f t="shared" si="2"/>
        <v>517213142.76499659</v>
      </c>
      <c r="J15" s="87">
        <f t="shared" si="2"/>
        <v>786098974.90799701</v>
      </c>
      <c r="K15" s="87">
        <f t="shared" si="2"/>
        <v>1086350354.8002205</v>
      </c>
    </row>
    <row r="16" spans="1:11" x14ac:dyDescent="0.35">
      <c r="A16" s="86" t="s">
        <v>217</v>
      </c>
      <c r="B16" s="87">
        <v>0</v>
      </c>
      <c r="C16" s="87">
        <f>'Ann 4'!C36</f>
        <v>88818499</v>
      </c>
      <c r="D16" s="87">
        <f>'Ann 4'!D36</f>
        <v>69915878.760000005</v>
      </c>
      <c r="E16" s="87">
        <f>'Ann 4'!E36</f>
        <v>59130867.221999899</v>
      </c>
      <c r="F16" s="87">
        <f>'Ann 4'!F36</f>
        <v>56933568.869100027</v>
      </c>
      <c r="G16" s="87">
        <f>'Ann 4'!G36</f>
        <v>2879929.3646550383</v>
      </c>
      <c r="H16" s="87">
        <f>'Ann 4'!H36</f>
        <v>20349738.152005374</v>
      </c>
      <c r="I16" s="87">
        <f>'Ann 4'!I36</f>
        <v>39552829.462041326</v>
      </c>
      <c r="J16" s="87">
        <f>'Ann 4'!J36</f>
        <v>257146466.24094486</v>
      </c>
      <c r="K16" s="87">
        <f>'Ann 4'!K36</f>
        <v>469321041.34714454</v>
      </c>
    </row>
    <row r="17" spans="1:12" x14ac:dyDescent="0.35">
      <c r="A17" s="86"/>
      <c r="B17" s="87">
        <v>0</v>
      </c>
      <c r="C17" s="87">
        <f>C15-C16</f>
        <v>275766774.75</v>
      </c>
      <c r="D17" s="87">
        <f t="shared" ref="D17:K17" si="3">D15-D16</f>
        <v>274905241.94</v>
      </c>
      <c r="E17" s="87">
        <f t="shared" si="3"/>
        <v>265274924.62049955</v>
      </c>
      <c r="F17" s="87">
        <f t="shared" si="3"/>
        <v>250652116.5315246</v>
      </c>
      <c r="G17" s="87">
        <f t="shared" si="3"/>
        <v>321711642.88237554</v>
      </c>
      <c r="H17" s="87">
        <f t="shared" si="3"/>
        <v>393099064.99801201</v>
      </c>
      <c r="I17" s="87">
        <f t="shared" si="3"/>
        <v>477660313.30295527</v>
      </c>
      <c r="J17" s="87">
        <f t="shared" si="3"/>
        <v>528952508.66705215</v>
      </c>
      <c r="K17" s="87">
        <f t="shared" si="3"/>
        <v>617029313.45307589</v>
      </c>
    </row>
    <row r="18" spans="1:12" x14ac:dyDescent="0.35">
      <c r="A18" s="86" t="s">
        <v>219</v>
      </c>
      <c r="B18" s="87">
        <v>0</v>
      </c>
      <c r="C18" s="87">
        <f>SUM('Ann 13'!D10:D13)*100000</f>
        <v>1660600.0000000002</v>
      </c>
      <c r="D18" s="87">
        <f>SUM('Ann 13'!D14:D17)*100000</f>
        <v>3321200.0000000005</v>
      </c>
      <c r="E18" s="87">
        <f>SUM('Ann 13'!D18:D21)*100000</f>
        <v>3321200.0000000005</v>
      </c>
      <c r="F18" s="87">
        <f>SUM('Ann 13'!D22:D25)*100000</f>
        <v>3321200.0000000005</v>
      </c>
      <c r="G18" s="87">
        <f>SUM('Ann 13'!D26:D29)*100000</f>
        <v>3321200.0000000005</v>
      </c>
      <c r="H18" s="87">
        <f>SUM('Ann 13'!D30:D33)*100000</f>
        <v>1378850</v>
      </c>
      <c r="I18" s="87">
        <f>SUM('Ann 13'!D34:D37)*100000</f>
        <v>0</v>
      </c>
      <c r="J18" s="87">
        <v>0</v>
      </c>
      <c r="K18" s="87">
        <v>0</v>
      </c>
    </row>
    <row r="19" spans="1:12" x14ac:dyDescent="0.35">
      <c r="A19" s="86" t="s">
        <v>220</v>
      </c>
      <c r="B19" s="87">
        <v>0</v>
      </c>
      <c r="C19" s="87">
        <f>C17-C18</f>
        <v>274106174.75</v>
      </c>
      <c r="D19" s="87">
        <f>D17-D18</f>
        <v>271584041.94</v>
      </c>
      <c r="E19" s="87">
        <f>E17-E18</f>
        <v>261953724.62049955</v>
      </c>
      <c r="F19" s="87">
        <f t="shared" ref="F19:K19" si="4">F17-F18</f>
        <v>247330916.5315246</v>
      </c>
      <c r="G19" s="87">
        <f t="shared" si="4"/>
        <v>318390442.88237554</v>
      </c>
      <c r="H19" s="87">
        <f t="shared" si="4"/>
        <v>391720214.99801201</v>
      </c>
      <c r="I19" s="87">
        <f t="shared" si="4"/>
        <v>477660313.30295527</v>
      </c>
      <c r="J19" s="87">
        <f t="shared" si="4"/>
        <v>528952508.66705215</v>
      </c>
      <c r="K19" s="87">
        <f t="shared" si="4"/>
        <v>617029313.45307589</v>
      </c>
    </row>
    <row r="21" spans="1:12" x14ac:dyDescent="0.35">
      <c r="A21" s="96" t="s">
        <v>239</v>
      </c>
      <c r="B21" s="97">
        <v>0.06</v>
      </c>
      <c r="C21" s="98"/>
      <c r="D21" s="96"/>
      <c r="E21" s="96"/>
      <c r="F21" s="96"/>
      <c r="G21" s="96"/>
      <c r="H21" s="96"/>
      <c r="I21" s="96"/>
      <c r="J21" s="96"/>
      <c r="K21" s="96"/>
      <c r="L21" s="96"/>
    </row>
    <row r="22" spans="1:12" x14ac:dyDescent="0.35">
      <c r="A22" s="96" t="s">
        <v>240</v>
      </c>
      <c r="B22" s="96">
        <v>1</v>
      </c>
      <c r="C22" s="99">
        <f>1/(1+$B$21)</f>
        <v>0.94339622641509424</v>
      </c>
      <c r="D22" s="99">
        <f>1/((1+$B$21)*(1+$B$21))</f>
        <v>0.88999644001423983</v>
      </c>
      <c r="E22" s="99">
        <f>1/((1+$B$21)*(1+$B$21)*(1+$B$21))</f>
        <v>0.8396192830323016</v>
      </c>
      <c r="F22" s="99">
        <f>1/((1+$B$21)*(1+$B$21)*(1+$B$21)*(1+$B$21))</f>
        <v>0.79209366323802044</v>
      </c>
      <c r="G22" s="99">
        <f>1/((1+$B$21)*(1+$B$21)*(1+$B$21)*(1+$B$21)*(1+$B$21))</f>
        <v>0.74725817286605689</v>
      </c>
      <c r="H22" s="99">
        <f>1/((1+$B$21)*(1+$B$21)*(1+$B$21)*(1+$B$21)*(1+$B$21)*(1+$B$21))</f>
        <v>0.70496054043967626</v>
      </c>
      <c r="I22" s="99">
        <f>1/((1+$B$21)*(1+$B$21)*(1+$B$21)*(1+$B$21)*(1+$B$21)*(1+$B$21)*(1+$B$21))</f>
        <v>0.6650571136223361</v>
      </c>
      <c r="J22" s="99">
        <f>1/((1+$B$21)*(1+$B$21)*(1+$B$21)*(1+$B$21)*(1+$B$21)*(1+$B$21)*(1+$B$21)*(1+$B$21))</f>
        <v>0.62741237134182648</v>
      </c>
      <c r="K22" s="99">
        <f>1/((1+$B$21)*(1+$B$21)*(1+$B$21)*(1+$B$21)*(1+$B$21)*(1+$B$21)*(1+$B$21)*(1+$B$21)*(1+$B$21))</f>
        <v>0.59189846353002495</v>
      </c>
      <c r="L22" s="96"/>
    </row>
    <row r="23" spans="1:12" x14ac:dyDescent="0.35">
      <c r="A23" s="96" t="s">
        <v>241</v>
      </c>
      <c r="B23" s="96">
        <f>B4+B8+B10+B5+B6</f>
        <v>35099000</v>
      </c>
      <c r="C23" s="96">
        <f>C4+C8+C10+C5+C6</f>
        <v>3696000000</v>
      </c>
      <c r="D23" s="96">
        <f t="shared" ref="D23:K23" si="5">D4+D8+D10</f>
        <v>4527866174.75</v>
      </c>
      <c r="E23" s="96">
        <f t="shared" si="5"/>
        <v>4780569641.9399996</v>
      </c>
      <c r="F23" s="96">
        <f t="shared" si="5"/>
        <v>5041478460.6204996</v>
      </c>
      <c r="G23" s="96">
        <f t="shared" si="5"/>
        <v>5313627136.6915245</v>
      </c>
      <c r="H23" s="96">
        <f t="shared" si="5"/>
        <v>5688664436.251977</v>
      </c>
      <c r="I23" s="96">
        <f t="shared" si="5"/>
        <v>6084210647.9697886</v>
      </c>
      <c r="J23" s="96">
        <f t="shared" si="5"/>
        <v>6511700172.2530384</v>
      </c>
      <c r="K23" s="96">
        <f t="shared" si="5"/>
        <v>6925034759.1541405</v>
      </c>
      <c r="L23" s="96"/>
    </row>
    <row r="24" spans="1:12" x14ac:dyDescent="0.35">
      <c r="A24" s="96" t="s">
        <v>242</v>
      </c>
      <c r="B24" s="96">
        <f>B23*B22</f>
        <v>35099000</v>
      </c>
      <c r="C24" s="96">
        <f>C23*C22</f>
        <v>3486792452.8301883</v>
      </c>
      <c r="D24" s="96">
        <f t="shared" ref="D24:K24" si="6">D23*D22</f>
        <v>4029784776.3883939</v>
      </c>
      <c r="E24" s="96">
        <f t="shared" si="6"/>
        <v>4013858455.2516494</v>
      </c>
      <c r="F24" s="96">
        <f t="shared" si="6"/>
        <v>3993323142.0084677</v>
      </c>
      <c r="G24" s="96">
        <f t="shared" si="6"/>
        <v>3970651305.455606</v>
      </c>
      <c r="H24" s="96">
        <f t="shared" si="6"/>
        <v>4010283955.3601599</v>
      </c>
      <c r="I24" s="96">
        <f t="shared" si="6"/>
        <v>4046347572.2090707</v>
      </c>
      <c r="J24" s="96">
        <f t="shared" si="6"/>
        <v>4085521246.5402589</v>
      </c>
      <c r="K24" s="96">
        <f t="shared" si="6"/>
        <v>4098917433.8353519</v>
      </c>
      <c r="L24" s="96"/>
    </row>
    <row r="25" spans="1:12" x14ac:dyDescent="0.35">
      <c r="A25" s="96" t="s">
        <v>243</v>
      </c>
      <c r="B25" s="96">
        <f>B9+B11+B12+B14+B16+B18+B7</f>
        <v>25099000</v>
      </c>
      <c r="C25" s="96">
        <f>C9+C11+C12+C14+C16+C18+C7</f>
        <v>3431893825.25</v>
      </c>
      <c r="D25" s="96">
        <f t="shared" ref="D25:K25" si="7">D9+D11+D12+D14+D16+D18+D7</f>
        <v>4256282132.8100004</v>
      </c>
      <c r="E25" s="96">
        <f t="shared" si="7"/>
        <v>4518615917.3195</v>
      </c>
      <c r="F25" s="96">
        <f t="shared" si="7"/>
        <v>4794147544.088975</v>
      </c>
      <c r="G25" s="96">
        <f t="shared" si="7"/>
        <v>4995236693.8091497</v>
      </c>
      <c r="H25" s="96">
        <f t="shared" si="7"/>
        <v>5296944221.2539644</v>
      </c>
      <c r="I25" s="96">
        <f t="shared" si="7"/>
        <v>5606550334.6668329</v>
      </c>
      <c r="J25" s="96">
        <f t="shared" si="7"/>
        <v>5982747663.5859861</v>
      </c>
      <c r="K25" s="96">
        <f t="shared" si="7"/>
        <v>6308005445.7010641</v>
      </c>
      <c r="L25" s="96"/>
    </row>
    <row r="26" spans="1:12" x14ac:dyDescent="0.35">
      <c r="A26" s="96" t="s">
        <v>244</v>
      </c>
      <c r="B26" s="96">
        <f>B25*B22</f>
        <v>25099000</v>
      </c>
      <c r="C26" s="96">
        <f>C25*C22</f>
        <v>3237635684.198113</v>
      </c>
      <c r="D26" s="96">
        <f t="shared" ref="D26:K26" si="8">D25*D22</f>
        <v>3788075945.8971162</v>
      </c>
      <c r="E26" s="96">
        <f t="shared" si="8"/>
        <v>3793917056.7981443</v>
      </c>
      <c r="F26" s="96">
        <f t="shared" si="8"/>
        <v>3797413890.3009953</v>
      </c>
      <c r="G26" s="96">
        <f t="shared" si="8"/>
        <v>3732731444.849308</v>
      </c>
      <c r="H26" s="96">
        <f t="shared" si="8"/>
        <v>3734136660.8940148</v>
      </c>
      <c r="I26" s="96">
        <f t="shared" si="8"/>
        <v>3728676182.9518666</v>
      </c>
      <c r="J26" s="96">
        <f t="shared" si="8"/>
        <v>3753649898.7502556</v>
      </c>
      <c r="K26" s="96">
        <f t="shared" si="8"/>
        <v>3733698731.2494903</v>
      </c>
      <c r="L26" s="96"/>
    </row>
    <row r="27" spans="1:12" x14ac:dyDescent="0.3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</row>
    <row r="28" spans="1:12" x14ac:dyDescent="0.35">
      <c r="A28" s="96" t="s">
        <v>245</v>
      </c>
      <c r="B28" s="96">
        <f>B23-B25</f>
        <v>10000000</v>
      </c>
      <c r="C28" s="96">
        <f>C23-C25</f>
        <v>264106174.75</v>
      </c>
      <c r="D28" s="96">
        <f>D23-D25</f>
        <v>271584041.93999958</v>
      </c>
      <c r="E28" s="96">
        <f t="shared" ref="E28:K28" si="9">E23-E25</f>
        <v>261953724.62049961</v>
      </c>
      <c r="F28" s="96">
        <f t="shared" si="9"/>
        <v>247330916.53152466</v>
      </c>
      <c r="G28" s="96">
        <f t="shared" si="9"/>
        <v>318390442.88237476</v>
      </c>
      <c r="H28" s="96">
        <f t="shared" si="9"/>
        <v>391720214.99801254</v>
      </c>
      <c r="I28" s="96">
        <f t="shared" si="9"/>
        <v>477660313.30295563</v>
      </c>
      <c r="J28" s="96">
        <f t="shared" si="9"/>
        <v>528952508.66705227</v>
      </c>
      <c r="K28" s="96">
        <f t="shared" si="9"/>
        <v>617029313.45307636</v>
      </c>
      <c r="L28" s="96"/>
    </row>
    <row r="29" spans="1:12" x14ac:dyDescent="0.35">
      <c r="A29" s="96" t="s">
        <v>246</v>
      </c>
      <c r="B29" s="96">
        <f>B24-B26</f>
        <v>10000000</v>
      </c>
      <c r="C29" s="96">
        <f>C28*C22</f>
        <v>249156768.63207546</v>
      </c>
      <c r="D29" s="96">
        <f t="shared" ref="D29:K29" si="10">D28*D22</f>
        <v>241708830.49127764</v>
      </c>
      <c r="E29" s="96">
        <f t="shared" si="10"/>
        <v>219941398.45350486</v>
      </c>
      <c r="F29" s="96">
        <f t="shared" si="10"/>
        <v>195909251.70747244</v>
      </c>
      <c r="G29" s="96">
        <f t="shared" si="10"/>
        <v>237919860.606298</v>
      </c>
      <c r="H29" s="96">
        <f t="shared" si="10"/>
        <v>276147294.4661451</v>
      </c>
      <c r="I29" s="96">
        <f t="shared" si="10"/>
        <v>317671389.25720441</v>
      </c>
      <c r="J29" s="96">
        <f t="shared" si="10"/>
        <v>331871347.7900033</v>
      </c>
      <c r="K29" s="96">
        <f t="shared" si="10"/>
        <v>365218702.58586204</v>
      </c>
      <c r="L29" s="96">
        <f>SUM(B29:K29)</f>
        <v>2445544843.9898434</v>
      </c>
    </row>
    <row r="30" spans="1:12" x14ac:dyDescent="0.35">
      <c r="A30" s="98"/>
      <c r="B30" s="98"/>
      <c r="C30" s="100"/>
      <c r="D30" s="100"/>
      <c r="E30" s="100"/>
      <c r="F30" s="100"/>
      <c r="G30" s="100"/>
      <c r="H30" s="98"/>
      <c r="I30" s="98"/>
      <c r="J30" s="98"/>
      <c r="K30" s="98"/>
      <c r="L30" s="98"/>
    </row>
  </sheetData>
  <pageMargins left="0.7" right="0.7" top="0.75" bottom="0.75" header="0.3" footer="0.3"/>
  <pageSetup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B69F-8F0D-45BD-B703-60FCEF10A70F}">
  <dimension ref="A2:J8"/>
  <sheetViews>
    <sheetView workbookViewId="0">
      <selection activeCell="B3" sqref="B3:F8"/>
    </sheetView>
  </sheetViews>
  <sheetFormatPr defaultRowHeight="14.5" x14ac:dyDescent="0.35"/>
  <cols>
    <col min="1" max="1" width="16.453125" bestFit="1" customWidth="1"/>
  </cols>
  <sheetData>
    <row r="2" spans="1:10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 x14ac:dyDescent="0.35">
      <c r="A3" t="s">
        <v>247</v>
      </c>
      <c r="B3" s="2">
        <f>'Ann 4'!C21/100000</f>
        <v>40320</v>
      </c>
      <c r="C3" s="2">
        <f>'Ann 4'!D21/100000</f>
        <v>42739.199999999997</v>
      </c>
      <c r="D3" s="2">
        <f>'Ann 4'!E21/100000</f>
        <v>45303.552000000003</v>
      </c>
      <c r="E3" s="2">
        <f>'Ann 4'!F21/100000</f>
        <v>48021.765119999996</v>
      </c>
      <c r="F3" s="2">
        <f>'Ann 4'!G21/100000</f>
        <v>50903.0710272</v>
      </c>
      <c r="G3" s="2">
        <f>'Ann 4'!H21/100000</f>
        <v>53957.255288832006</v>
      </c>
      <c r="H3" s="2">
        <f>'Ann 4'!I21/100000</f>
        <v>57194.69060616193</v>
      </c>
      <c r="I3" s="2">
        <f>'Ann 4'!J21/100000</f>
        <v>60626.372042531642</v>
      </c>
      <c r="J3" s="2">
        <f>'Ann 4'!K21/100000</f>
        <v>64263.95436508354</v>
      </c>
    </row>
    <row r="4" spans="1:10" x14ac:dyDescent="0.35">
      <c r="A4" t="s">
        <v>248</v>
      </c>
      <c r="B4" s="2">
        <f>'Ann 4'!C20/100000</f>
        <v>38681.26496</v>
      </c>
      <c r="C4" s="2">
        <f>'Ann 4'!D20/100000</f>
        <v>41443.331359999996</v>
      </c>
      <c r="D4" s="2">
        <f>'Ann 4'!E20/100000</f>
        <v>44205.488888</v>
      </c>
      <c r="E4" s="2">
        <f>'Ann 4'!F20/100000</f>
        <v>46967.742100399999</v>
      </c>
      <c r="F4" s="2">
        <f>'Ann 4'!G20/100000</f>
        <v>50818.73578142</v>
      </c>
      <c r="G4" s="2">
        <f>'Ann 4'!H20/100000</f>
        <v>53641.674954490998</v>
      </c>
      <c r="H4" s="2">
        <f>'Ann 4'!I20/100000</f>
        <v>56464.724894215557</v>
      </c>
      <c r="I4" s="2">
        <f>'Ann 4'!J20/100000</f>
        <v>56012.441618588207</v>
      </c>
      <c r="J4" s="2">
        <f>'Ann 4'!K20/100000</f>
        <v>55862.624179179496</v>
      </c>
    </row>
    <row r="5" spans="1:10" x14ac:dyDescent="0.35">
      <c r="A5" t="s">
        <v>249</v>
      </c>
      <c r="B5" s="2">
        <f>B3-B4</f>
        <v>1638.7350399999996</v>
      </c>
      <c r="C5" s="2">
        <f t="shared" ref="C5:J5" si="0">C3-C4</f>
        <v>1295.8686400000006</v>
      </c>
      <c r="D5" s="2">
        <f t="shared" si="0"/>
        <v>1098.0631120000035</v>
      </c>
      <c r="E5" s="2">
        <f t="shared" si="0"/>
        <v>1054.0230195999975</v>
      </c>
      <c r="F5" s="2">
        <f t="shared" si="0"/>
        <v>84.335245779999241</v>
      </c>
      <c r="G5" s="2">
        <f t="shared" si="0"/>
        <v>315.58033434100798</v>
      </c>
      <c r="H5" s="2">
        <f t="shared" si="0"/>
        <v>729.96571194637363</v>
      </c>
      <c r="I5" s="2">
        <f t="shared" si="0"/>
        <v>4613.930423943435</v>
      </c>
      <c r="J5" s="2">
        <f t="shared" si="0"/>
        <v>8401.3301859040439</v>
      </c>
    </row>
    <row r="6" spans="1:10" x14ac:dyDescent="0.35">
      <c r="A6" t="s">
        <v>250</v>
      </c>
      <c r="B6" s="2">
        <f>B5</f>
        <v>1638.7350399999996</v>
      </c>
      <c r="C6" s="2">
        <f t="shared" ref="C6:J6" si="1">C5</f>
        <v>1295.8686400000006</v>
      </c>
      <c r="D6" s="2">
        <f t="shared" si="1"/>
        <v>1098.0631120000035</v>
      </c>
      <c r="E6" s="2">
        <f t="shared" si="1"/>
        <v>1054.0230195999975</v>
      </c>
      <c r="F6" s="2">
        <f t="shared" si="1"/>
        <v>84.335245779999241</v>
      </c>
      <c r="G6" s="2">
        <f t="shared" si="1"/>
        <v>315.58033434100798</v>
      </c>
      <c r="H6" s="2">
        <f t="shared" si="1"/>
        <v>729.96571194637363</v>
      </c>
      <c r="I6" s="2">
        <f t="shared" si="1"/>
        <v>4613.930423943435</v>
      </c>
      <c r="J6" s="2">
        <f t="shared" si="1"/>
        <v>8401.3301859040439</v>
      </c>
    </row>
    <row r="7" spans="1:10" x14ac:dyDescent="0.35">
      <c r="A7" t="s">
        <v>251</v>
      </c>
      <c r="B7" s="80">
        <f>'Ann 4'!C33/100000</f>
        <v>1586.044625</v>
      </c>
      <c r="C7" s="80">
        <f>'Ann 4'!D33/100000</f>
        <v>1248.4978349999999</v>
      </c>
      <c r="D7" s="80">
        <f>'Ann 4'!E33/100000</f>
        <v>1055.9083432499981</v>
      </c>
      <c r="E7" s="80">
        <f>'Ann 4'!F33/100000</f>
        <v>1016.6708726625004</v>
      </c>
      <c r="F7" s="80">
        <f>'Ann 4'!G33/100000</f>
        <v>51.427310083125683</v>
      </c>
      <c r="G7" s="80">
        <f>'Ann 4'!H33/100000</f>
        <v>340.82453842866732</v>
      </c>
      <c r="H7" s="80">
        <f>'Ann 4'!I33/100000</f>
        <v>706.30052610788073</v>
      </c>
      <c r="I7" s="80">
        <f>'Ann 4'!J33/100000</f>
        <v>4591.9011828740158</v>
      </c>
      <c r="J7" s="80">
        <f>'Ann 4'!K33/100000</f>
        <v>8380.7328811990101</v>
      </c>
    </row>
    <row r="8" spans="1:10" x14ac:dyDescent="0.35">
      <c r="A8" t="s">
        <v>252</v>
      </c>
      <c r="B8" s="80">
        <f>'Ann 4'!C35/100000</f>
        <v>1110.2312374999999</v>
      </c>
      <c r="C8" s="80">
        <f>'Ann 4'!D35/100000</f>
        <v>873.94848450000006</v>
      </c>
      <c r="D8" s="80">
        <f>'Ann 4'!E35/100000</f>
        <v>739.13584027499871</v>
      </c>
      <c r="E8" s="80">
        <f>'Ann 4'!F35/100000</f>
        <v>711.66961086375034</v>
      </c>
      <c r="F8" s="80">
        <f>'Ann 4'!G35/100000</f>
        <v>35.999117058187977</v>
      </c>
      <c r="G8" s="80">
        <f>'Ann 4'!H35/100000</f>
        <v>254.37172690006713</v>
      </c>
      <c r="H8" s="80">
        <f>'Ann 4'!I35/100000</f>
        <v>494.41036827551653</v>
      </c>
      <c r="I8" s="80">
        <f>'Ann 4'!J35/100000</f>
        <v>3214.3308280118108</v>
      </c>
      <c r="J8" s="80">
        <f>'Ann 4'!K35/100000</f>
        <v>5866.5130168393061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35DA7-00E0-4D15-8196-E2CB4C255341}">
  <sheetPr>
    <pageSetUpPr fitToPage="1"/>
  </sheetPr>
  <dimension ref="A1:L10"/>
  <sheetViews>
    <sheetView workbookViewId="0">
      <selection activeCell="B11" sqref="A11:XFD11"/>
    </sheetView>
  </sheetViews>
  <sheetFormatPr defaultRowHeight="14.5" x14ac:dyDescent="0.35"/>
  <cols>
    <col min="2" max="2" width="84" bestFit="1" customWidth="1"/>
    <col min="3" max="3" width="12.36328125" bestFit="1" customWidth="1"/>
    <col min="4" max="12" width="12.54296875" bestFit="1" customWidth="1"/>
  </cols>
  <sheetData>
    <row r="1" spans="1:12" x14ac:dyDescent="0.35">
      <c r="A1" t="s">
        <v>275</v>
      </c>
      <c r="B1" t="s">
        <v>276</v>
      </c>
    </row>
    <row r="2" spans="1:12" x14ac:dyDescent="0.35">
      <c r="A2">
        <v>1</v>
      </c>
      <c r="B2" t="s">
        <v>295</v>
      </c>
    </row>
    <row r="3" spans="1:12" x14ac:dyDescent="0.35">
      <c r="A3">
        <v>2</v>
      </c>
      <c r="B3" t="s">
        <v>294</v>
      </c>
    </row>
    <row r="4" spans="1:12" x14ac:dyDescent="0.35">
      <c r="A4">
        <v>3</v>
      </c>
      <c r="B4" t="s">
        <v>293</v>
      </c>
    </row>
    <row r="5" spans="1:12" x14ac:dyDescent="0.35">
      <c r="A5">
        <v>4</v>
      </c>
      <c r="B5" t="s">
        <v>278</v>
      </c>
    </row>
    <row r="6" spans="1:12" x14ac:dyDescent="0.35">
      <c r="C6" t="s">
        <v>201</v>
      </c>
      <c r="D6" s="15">
        <v>140000</v>
      </c>
      <c r="E6" s="15">
        <f>D6*1.05</f>
        <v>147000</v>
      </c>
      <c r="F6" s="15">
        <f t="shared" ref="F6:J6" si="0">E6*1.05</f>
        <v>154350</v>
      </c>
      <c r="G6" s="15">
        <f t="shared" si="0"/>
        <v>162067.5</v>
      </c>
      <c r="H6" s="15">
        <f t="shared" si="0"/>
        <v>170170.875</v>
      </c>
      <c r="I6" s="15">
        <f t="shared" si="0"/>
        <v>178679.41875000001</v>
      </c>
      <c r="J6" s="15">
        <f t="shared" si="0"/>
        <v>187613.38968750002</v>
      </c>
      <c r="K6" s="15">
        <f>J6</f>
        <v>187613.38968750002</v>
      </c>
      <c r="L6" s="15">
        <f>K6</f>
        <v>187613.38968750002</v>
      </c>
    </row>
    <row r="7" spans="1:12" x14ac:dyDescent="0.35">
      <c r="C7" t="s">
        <v>73</v>
      </c>
      <c r="D7" s="15">
        <f>D6*12</f>
        <v>1680000</v>
      </c>
      <c r="E7" s="15">
        <f t="shared" ref="E7:L7" si="1">E6*12</f>
        <v>1764000</v>
      </c>
      <c r="F7" s="15">
        <f t="shared" si="1"/>
        <v>1852200</v>
      </c>
      <c r="G7" s="15">
        <f t="shared" si="1"/>
        <v>1944810</v>
      </c>
      <c r="H7" s="15">
        <f t="shared" si="1"/>
        <v>2042050.5</v>
      </c>
      <c r="I7" s="15">
        <f t="shared" si="1"/>
        <v>2144153.0250000004</v>
      </c>
      <c r="J7" s="15">
        <f t="shared" si="1"/>
        <v>2251360.6762500005</v>
      </c>
      <c r="K7" s="15">
        <f t="shared" si="1"/>
        <v>2251360.6762500005</v>
      </c>
      <c r="L7" s="15">
        <f t="shared" si="1"/>
        <v>2251360.6762500005</v>
      </c>
    </row>
    <row r="8" spans="1:12" x14ac:dyDescent="0.35">
      <c r="A8">
        <v>5</v>
      </c>
      <c r="B8" t="s">
        <v>292</v>
      </c>
    </row>
    <row r="9" spans="1:12" x14ac:dyDescent="0.35">
      <c r="A9">
        <v>6</v>
      </c>
      <c r="B9" t="s">
        <v>296</v>
      </c>
    </row>
    <row r="10" spans="1:12" x14ac:dyDescent="0.35">
      <c r="A10">
        <v>7</v>
      </c>
      <c r="B10" t="s">
        <v>277</v>
      </c>
    </row>
  </sheetData>
  <pageMargins left="0.7" right="0.7" top="0.75" bottom="0.75" header="0.3" footer="0.3"/>
  <pageSetup scale="5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149</v>
      </c>
    </row>
    <row r="2" spans="1:11" x14ac:dyDescent="0.35"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  <c r="K2" t="s">
        <v>47</v>
      </c>
    </row>
    <row r="3" spans="1:11" x14ac:dyDescent="0.35">
      <c r="A3" t="s">
        <v>150</v>
      </c>
      <c r="C3">
        <f>'Ann 4'!C21/300*270</f>
        <v>3628800000</v>
      </c>
      <c r="D3">
        <f>'Ann 4'!D21/300*270</f>
        <v>3846528000</v>
      </c>
      <c r="E3">
        <f>'Ann 4'!E21/300*270</f>
        <v>4077319680</v>
      </c>
      <c r="F3">
        <f>'Ann 4'!F21/300*270</f>
        <v>4321958860.8000002</v>
      </c>
      <c r="G3">
        <f>'Ann 4'!G21/300*270</f>
        <v>4581276392.448</v>
      </c>
      <c r="H3">
        <f>'Ann 4'!H21/300*270</f>
        <v>4856152975.9948807</v>
      </c>
      <c r="I3">
        <f>'Ann 4'!I21/300*270</f>
        <v>5147522154.554574</v>
      </c>
      <c r="J3">
        <f>'Ann 4'!J21/300*270</f>
        <v>5456373483.8278484</v>
      </c>
      <c r="K3">
        <f>'Ann 4'!K21/300*270</f>
        <v>5783755892.8575182</v>
      </c>
    </row>
    <row r="4" spans="1:11" x14ac:dyDescent="0.35">
      <c r="A4" t="s">
        <v>151</v>
      </c>
      <c r="C4">
        <v>5000000</v>
      </c>
    </row>
    <row r="5" spans="1:11" x14ac:dyDescent="0.35">
      <c r="A5" t="s">
        <v>152</v>
      </c>
      <c r="C5">
        <v>21492978</v>
      </c>
    </row>
    <row r="7" spans="1:11" x14ac:dyDescent="0.35">
      <c r="A7" t="s">
        <v>153</v>
      </c>
      <c r="C7">
        <f>'Ann 3'!G22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sheetPr>
    <pageSetUpPr fitToPage="1"/>
  </sheetPr>
  <dimension ref="A1:C42"/>
  <sheetViews>
    <sheetView workbookViewId="0">
      <selection activeCell="A2" sqref="A2"/>
    </sheetView>
  </sheetViews>
  <sheetFormatPr defaultRowHeight="14.5" x14ac:dyDescent="0.35"/>
  <cols>
    <col min="2" max="2" width="44.90625" customWidth="1"/>
    <col min="3" max="3" width="13.26953125" customWidth="1"/>
  </cols>
  <sheetData>
    <row r="1" spans="1:3" x14ac:dyDescent="0.35">
      <c r="A1" s="22" t="s">
        <v>301</v>
      </c>
    </row>
    <row r="3" spans="1:3" x14ac:dyDescent="0.35">
      <c r="A3" s="22" t="s">
        <v>0</v>
      </c>
    </row>
    <row r="5" spans="1:3" x14ac:dyDescent="0.35">
      <c r="A5" s="31" t="s">
        <v>1</v>
      </c>
      <c r="B5" s="32"/>
      <c r="C5" s="33"/>
    </row>
    <row r="6" spans="1:3" ht="29" x14ac:dyDescent="0.35">
      <c r="A6" s="34" t="s">
        <v>2</v>
      </c>
      <c r="B6" s="34" t="s">
        <v>3</v>
      </c>
      <c r="C6" s="35" t="s">
        <v>4</v>
      </c>
    </row>
    <row r="7" spans="1:3" x14ac:dyDescent="0.35">
      <c r="A7" s="7">
        <v>1</v>
      </c>
      <c r="B7" s="9" t="s">
        <v>6</v>
      </c>
      <c r="C7" s="6"/>
    </row>
    <row r="8" spans="1:3" x14ac:dyDescent="0.35">
      <c r="A8" s="7" t="s">
        <v>5</v>
      </c>
      <c r="B8" s="9" t="s">
        <v>7</v>
      </c>
      <c r="C8" s="66">
        <v>0</v>
      </c>
    </row>
    <row r="9" spans="1:3" x14ac:dyDescent="0.35">
      <c r="A9" s="7"/>
      <c r="B9" s="9" t="s">
        <v>8</v>
      </c>
      <c r="C9" s="66">
        <f>SUM(C8)</f>
        <v>0</v>
      </c>
    </row>
    <row r="10" spans="1:3" x14ac:dyDescent="0.35">
      <c r="A10" s="7"/>
      <c r="B10" s="9"/>
      <c r="C10" s="6"/>
    </row>
    <row r="11" spans="1:3" x14ac:dyDescent="0.35">
      <c r="A11" s="7">
        <v>2</v>
      </c>
      <c r="B11" s="9" t="s">
        <v>177</v>
      </c>
      <c r="C11" s="66">
        <v>155.74</v>
      </c>
    </row>
    <row r="12" spans="1:3" x14ac:dyDescent="0.35">
      <c r="A12" s="7" t="s">
        <v>5</v>
      </c>
      <c r="B12" s="9" t="s">
        <v>8</v>
      </c>
      <c r="C12" s="66">
        <f>C11</f>
        <v>155.74</v>
      </c>
    </row>
    <row r="13" spans="1:3" x14ac:dyDescent="0.35">
      <c r="A13" s="7"/>
      <c r="B13" s="9"/>
      <c r="C13" s="6"/>
    </row>
    <row r="14" spans="1:3" x14ac:dyDescent="0.35">
      <c r="A14" s="7">
        <v>3</v>
      </c>
      <c r="B14" s="9" t="s">
        <v>9</v>
      </c>
      <c r="C14" s="6"/>
    </row>
    <row r="15" spans="1:3" x14ac:dyDescent="0.35">
      <c r="A15" s="7" t="s">
        <v>5</v>
      </c>
      <c r="B15" s="9" t="s">
        <v>9</v>
      </c>
      <c r="C15" s="26"/>
    </row>
    <row r="16" spans="1:3" x14ac:dyDescent="0.35">
      <c r="A16" s="7"/>
      <c r="B16" s="9" t="s">
        <v>8</v>
      </c>
      <c r="C16" s="26">
        <f>C15</f>
        <v>0</v>
      </c>
    </row>
    <row r="17" spans="1:3" x14ac:dyDescent="0.35">
      <c r="A17" s="7"/>
      <c r="B17" s="9"/>
      <c r="C17" s="6"/>
    </row>
    <row r="18" spans="1:3" x14ac:dyDescent="0.35">
      <c r="A18" s="7">
        <v>4</v>
      </c>
      <c r="B18" s="9" t="s">
        <v>10</v>
      </c>
      <c r="C18" s="6"/>
    </row>
    <row r="19" spans="1:3" x14ac:dyDescent="0.35">
      <c r="A19" s="7" t="s">
        <v>5</v>
      </c>
      <c r="B19" s="9" t="s">
        <v>11</v>
      </c>
      <c r="C19" s="26">
        <v>95.25</v>
      </c>
    </row>
    <row r="20" spans="1:3" x14ac:dyDescent="0.35">
      <c r="A20" s="7"/>
      <c r="B20" s="9" t="s">
        <v>8</v>
      </c>
      <c r="C20" s="27">
        <f>C19</f>
        <v>95.25</v>
      </c>
    </row>
    <row r="21" spans="1:3" x14ac:dyDescent="0.35">
      <c r="A21" s="7"/>
      <c r="B21" s="9"/>
      <c r="C21" s="6"/>
    </row>
    <row r="22" spans="1:3" x14ac:dyDescent="0.35">
      <c r="A22" s="7">
        <v>5</v>
      </c>
      <c r="B22" s="9" t="s">
        <v>12</v>
      </c>
      <c r="C22" s="6"/>
    </row>
    <row r="23" spans="1:3" x14ac:dyDescent="0.35">
      <c r="A23" s="7" t="s">
        <v>5</v>
      </c>
      <c r="B23" s="9" t="s">
        <v>13</v>
      </c>
      <c r="C23" s="66">
        <v>0</v>
      </c>
    </row>
    <row r="24" spans="1:3" x14ac:dyDescent="0.35">
      <c r="A24" s="7"/>
      <c r="B24" s="9"/>
      <c r="C24" s="66"/>
    </row>
    <row r="25" spans="1:3" x14ac:dyDescent="0.35">
      <c r="A25" s="7">
        <v>6</v>
      </c>
      <c r="B25" s="9" t="s">
        <v>14</v>
      </c>
      <c r="C25" s="66">
        <v>100</v>
      </c>
    </row>
    <row r="26" spans="1:3" x14ac:dyDescent="0.35">
      <c r="A26" s="7"/>
      <c r="B26" s="9"/>
      <c r="C26" s="66"/>
    </row>
    <row r="27" spans="1:3" x14ac:dyDescent="0.35">
      <c r="A27" s="7">
        <v>7</v>
      </c>
      <c r="B27" s="9" t="s">
        <v>15</v>
      </c>
      <c r="C27" s="66"/>
    </row>
    <row r="28" spans="1:3" x14ac:dyDescent="0.35">
      <c r="A28" s="7" t="s">
        <v>5</v>
      </c>
      <c r="B28" s="9" t="s">
        <v>16</v>
      </c>
      <c r="C28" s="66">
        <v>0</v>
      </c>
    </row>
    <row r="29" spans="1:3" x14ac:dyDescent="0.35">
      <c r="A29" s="7"/>
      <c r="B29" s="9" t="s">
        <v>8</v>
      </c>
      <c r="C29" s="66"/>
    </row>
    <row r="30" spans="1:3" x14ac:dyDescent="0.35">
      <c r="A30" s="7"/>
      <c r="B30" s="9"/>
      <c r="C30" s="66"/>
    </row>
    <row r="31" spans="1:3" x14ac:dyDescent="0.35">
      <c r="A31" s="7">
        <v>8</v>
      </c>
      <c r="B31" s="9" t="s">
        <v>17</v>
      </c>
      <c r="C31" s="6"/>
    </row>
    <row r="32" spans="1:3" ht="29" x14ac:dyDescent="0.35">
      <c r="A32" s="7"/>
      <c r="B32" s="10" t="s">
        <v>18</v>
      </c>
      <c r="C32" s="6"/>
    </row>
    <row r="33" spans="1:3" x14ac:dyDescent="0.35">
      <c r="A33" s="7" t="s">
        <v>5</v>
      </c>
      <c r="B33" s="9" t="s">
        <v>19</v>
      </c>
      <c r="C33" s="66">
        <v>0</v>
      </c>
    </row>
    <row r="34" spans="1:3" x14ac:dyDescent="0.35">
      <c r="A34" s="7" t="s">
        <v>20</v>
      </c>
      <c r="B34" s="9" t="s">
        <v>21</v>
      </c>
      <c r="C34" s="66">
        <v>0</v>
      </c>
    </row>
    <row r="35" spans="1:3" x14ac:dyDescent="0.35">
      <c r="A35" s="7"/>
      <c r="B35" s="9" t="s">
        <v>8</v>
      </c>
      <c r="C35" s="66">
        <f>SUM(C33:C34)</f>
        <v>0</v>
      </c>
    </row>
    <row r="36" spans="1:3" x14ac:dyDescent="0.35">
      <c r="A36" s="7"/>
      <c r="B36" s="9"/>
      <c r="C36" s="66"/>
    </row>
    <row r="37" spans="1:3" x14ac:dyDescent="0.35">
      <c r="A37" s="7">
        <v>9</v>
      </c>
      <c r="B37" s="9" t="s">
        <v>176</v>
      </c>
      <c r="C37" s="66">
        <v>0</v>
      </c>
    </row>
    <row r="38" spans="1:3" x14ac:dyDescent="0.35">
      <c r="A38" s="7"/>
      <c r="B38" s="9"/>
      <c r="C38" s="6"/>
    </row>
    <row r="39" spans="1:3" x14ac:dyDescent="0.35">
      <c r="A39" s="8"/>
      <c r="B39" s="11" t="s">
        <v>22</v>
      </c>
      <c r="C39" s="28">
        <f>C35+C28+C25+C20+C16+C23+C37+C12</f>
        <v>350.99</v>
      </c>
    </row>
    <row r="40" spans="1:3" x14ac:dyDescent="0.35">
      <c r="A40" s="1"/>
    </row>
    <row r="41" spans="1:3" x14ac:dyDescent="0.35">
      <c r="A41" s="1"/>
    </row>
    <row r="42" spans="1:3" x14ac:dyDescent="0.35">
      <c r="A4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9"/>
  <sheetViews>
    <sheetView workbookViewId="0">
      <selection activeCell="C6" sqref="C6:C7"/>
    </sheetView>
  </sheetViews>
  <sheetFormatPr defaultRowHeight="14.5" x14ac:dyDescent="0.35"/>
  <cols>
    <col min="2" max="2" width="22.08984375" customWidth="1"/>
    <col min="3" max="3" width="18.81640625" bestFit="1" customWidth="1"/>
  </cols>
  <sheetData>
    <row r="1" spans="1:4" x14ac:dyDescent="0.35">
      <c r="A1" s="22" t="s">
        <v>23</v>
      </c>
    </row>
    <row r="3" spans="1:4" x14ac:dyDescent="0.35">
      <c r="A3" s="36" t="s">
        <v>24</v>
      </c>
      <c r="B3" s="32" t="s">
        <v>25</v>
      </c>
      <c r="C3" s="33" t="s">
        <v>4</v>
      </c>
    </row>
    <row r="4" spans="1:4" x14ac:dyDescent="0.35">
      <c r="A4" s="14">
        <v>1</v>
      </c>
      <c r="B4" s="5" t="s">
        <v>26</v>
      </c>
      <c r="C4" s="95">
        <v>35.098999999999997</v>
      </c>
      <c r="D4" s="42"/>
    </row>
    <row r="5" spans="1:4" x14ac:dyDescent="0.35">
      <c r="A5" s="14">
        <v>2</v>
      </c>
      <c r="B5" s="5" t="s">
        <v>27</v>
      </c>
      <c r="C5" s="27">
        <v>0</v>
      </c>
      <c r="D5" s="2"/>
    </row>
    <row r="6" spans="1:4" x14ac:dyDescent="0.35">
      <c r="A6" s="14">
        <v>3</v>
      </c>
      <c r="B6" s="5" t="s">
        <v>28</v>
      </c>
      <c r="C6" s="92">
        <f>C8-C4-C7</f>
        <v>215.89100000000002</v>
      </c>
      <c r="D6" s="42"/>
    </row>
    <row r="7" spans="1:4" x14ac:dyDescent="0.35">
      <c r="A7" s="14">
        <v>4</v>
      </c>
      <c r="B7" s="5" t="s">
        <v>29</v>
      </c>
      <c r="C7" s="66">
        <v>100</v>
      </c>
    </row>
    <row r="8" spans="1:4" x14ac:dyDescent="0.35">
      <c r="A8" s="13"/>
      <c r="B8" s="4" t="s">
        <v>8</v>
      </c>
      <c r="C8" s="37">
        <f>'Ann 1'!C39</f>
        <v>350.99</v>
      </c>
    </row>
    <row r="9" spans="1:4" x14ac:dyDescent="0.35">
      <c r="C9" s="9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I24"/>
  <sheetViews>
    <sheetView workbookViewId="0">
      <selection activeCell="H22" sqref="H22"/>
    </sheetView>
  </sheetViews>
  <sheetFormatPr defaultRowHeight="14.5" x14ac:dyDescent="0.35"/>
  <cols>
    <col min="1" max="1" width="3.6328125" customWidth="1"/>
    <col min="2" max="2" width="26.08984375" customWidth="1"/>
    <col min="4" max="4" width="12.7265625" bestFit="1" customWidth="1"/>
    <col min="6" max="6" width="10.54296875" customWidth="1"/>
    <col min="7" max="7" width="11" bestFit="1" customWidth="1"/>
    <col min="9" max="9" width="9.1796875" bestFit="1" customWidth="1"/>
  </cols>
  <sheetData>
    <row r="1" spans="1:7" x14ac:dyDescent="0.35">
      <c r="A1" s="22" t="s">
        <v>30</v>
      </c>
    </row>
    <row r="3" spans="1:7" x14ac:dyDescent="0.35">
      <c r="A3" s="36" t="s">
        <v>33</v>
      </c>
      <c r="B3" s="32"/>
      <c r="C3" s="32"/>
      <c r="D3" s="32"/>
      <c r="E3" s="32" t="s">
        <v>31</v>
      </c>
      <c r="F3" s="32"/>
      <c r="G3" s="78" t="s">
        <v>32</v>
      </c>
    </row>
    <row r="4" spans="1:7" x14ac:dyDescent="0.35">
      <c r="A4" s="14">
        <v>1</v>
      </c>
      <c r="B4" s="39" t="s">
        <v>221</v>
      </c>
      <c r="C4" s="5"/>
      <c r="D4" s="39"/>
      <c r="E4" s="39">
        <v>1</v>
      </c>
      <c r="F4" s="17"/>
      <c r="G4" s="79">
        <v>650000</v>
      </c>
    </row>
    <row r="5" spans="1:7" x14ac:dyDescent="0.35">
      <c r="A5" s="14">
        <v>2</v>
      </c>
      <c r="B5" s="39" t="s">
        <v>222</v>
      </c>
      <c r="C5" s="5"/>
      <c r="D5" s="39"/>
      <c r="E5" s="39">
        <v>1</v>
      </c>
      <c r="F5" s="17"/>
      <c r="G5" s="79">
        <v>350000</v>
      </c>
    </row>
    <row r="6" spans="1:7" x14ac:dyDescent="0.35">
      <c r="A6" s="14">
        <v>3</v>
      </c>
      <c r="B6" s="39" t="s">
        <v>223</v>
      </c>
      <c r="C6" s="5"/>
      <c r="D6" s="39"/>
      <c r="E6" s="39">
        <v>1</v>
      </c>
      <c r="F6" s="17"/>
      <c r="G6" s="79">
        <v>235000</v>
      </c>
    </row>
    <row r="7" spans="1:7" x14ac:dyDescent="0.35">
      <c r="A7" s="14">
        <v>4</v>
      </c>
      <c r="B7" s="39" t="s">
        <v>224</v>
      </c>
      <c r="C7" s="5"/>
      <c r="D7" s="39"/>
      <c r="E7" s="39">
        <v>1</v>
      </c>
      <c r="F7" s="17"/>
      <c r="G7" s="79">
        <v>285000</v>
      </c>
    </row>
    <row r="8" spans="1:7" x14ac:dyDescent="0.35">
      <c r="A8" s="14">
        <v>5</v>
      </c>
      <c r="B8" s="39" t="s">
        <v>225</v>
      </c>
      <c r="C8" s="5"/>
      <c r="D8" s="39"/>
      <c r="E8" s="39">
        <v>1</v>
      </c>
      <c r="F8" s="17"/>
      <c r="G8" s="79">
        <v>175000</v>
      </c>
    </row>
    <row r="9" spans="1:7" x14ac:dyDescent="0.35">
      <c r="A9" s="14">
        <v>6</v>
      </c>
      <c r="B9" s="39" t="s">
        <v>226</v>
      </c>
      <c r="C9" s="5"/>
      <c r="D9" s="39"/>
      <c r="E9" s="39">
        <v>1</v>
      </c>
      <c r="F9" s="17"/>
      <c r="G9" s="79">
        <v>175000</v>
      </c>
    </row>
    <row r="10" spans="1:7" x14ac:dyDescent="0.35">
      <c r="A10" s="14">
        <v>7</v>
      </c>
      <c r="B10" s="39" t="s">
        <v>227</v>
      </c>
      <c r="C10" s="5"/>
      <c r="D10" s="39"/>
      <c r="E10" s="39">
        <v>4</v>
      </c>
      <c r="F10" s="17"/>
      <c r="G10" s="79">
        <v>300000</v>
      </c>
    </row>
    <row r="11" spans="1:7" x14ac:dyDescent="0.35">
      <c r="A11" s="14">
        <v>8</v>
      </c>
      <c r="B11" s="39" t="s">
        <v>228</v>
      </c>
      <c r="C11" s="5"/>
      <c r="D11" s="39"/>
      <c r="E11" s="39">
        <v>1</v>
      </c>
      <c r="F11" s="17"/>
      <c r="G11" s="79">
        <v>75000</v>
      </c>
    </row>
    <row r="12" spans="1:7" x14ac:dyDescent="0.35">
      <c r="A12" s="14">
        <v>9</v>
      </c>
      <c r="B12" s="39" t="s">
        <v>229</v>
      </c>
      <c r="C12" s="5"/>
      <c r="D12" s="39"/>
      <c r="E12" s="39">
        <v>1</v>
      </c>
      <c r="F12" s="17"/>
      <c r="G12" s="79">
        <v>30000</v>
      </c>
    </row>
    <row r="13" spans="1:7" x14ac:dyDescent="0.35">
      <c r="A13" s="14">
        <v>10</v>
      </c>
      <c r="B13" s="39" t="s">
        <v>230</v>
      </c>
      <c r="C13" s="5"/>
      <c r="D13" s="39"/>
      <c r="E13" s="39">
        <v>1</v>
      </c>
      <c r="F13" s="17"/>
      <c r="G13" s="79">
        <v>5000</v>
      </c>
    </row>
    <row r="14" spans="1:7" x14ac:dyDescent="0.35">
      <c r="A14" s="14">
        <v>11</v>
      </c>
      <c r="B14" s="39" t="s">
        <v>231</v>
      </c>
      <c r="C14" s="5"/>
      <c r="D14" s="39"/>
      <c r="E14" s="39">
        <v>1</v>
      </c>
      <c r="F14" s="17"/>
      <c r="G14" s="79">
        <v>80000</v>
      </c>
    </row>
    <row r="15" spans="1:7" x14ac:dyDescent="0.35">
      <c r="A15" s="14">
        <v>12</v>
      </c>
      <c r="B15" s="39" t="s">
        <v>232</v>
      </c>
      <c r="C15" s="5"/>
      <c r="D15" s="39"/>
      <c r="E15" s="39">
        <v>1</v>
      </c>
      <c r="F15" s="17"/>
      <c r="G15" s="79">
        <v>150000</v>
      </c>
    </row>
    <row r="16" spans="1:7" x14ac:dyDescent="0.35">
      <c r="A16" s="14">
        <v>13</v>
      </c>
      <c r="B16" s="39" t="s">
        <v>233</v>
      </c>
      <c r="C16" s="5"/>
      <c r="D16" s="39"/>
      <c r="E16" s="39">
        <v>1</v>
      </c>
      <c r="F16" s="17"/>
      <c r="G16" s="79">
        <v>355000</v>
      </c>
    </row>
    <row r="17" spans="1:9" x14ac:dyDescent="0.35">
      <c r="A17" s="14">
        <v>14</v>
      </c>
      <c r="B17" s="39" t="s">
        <v>234</v>
      </c>
      <c r="C17" s="5"/>
      <c r="D17" s="39"/>
      <c r="E17" s="39">
        <v>1</v>
      </c>
      <c r="F17" s="17"/>
      <c r="G17" s="79">
        <v>275000</v>
      </c>
    </row>
    <row r="18" spans="1:9" x14ac:dyDescent="0.35">
      <c r="A18" s="14">
        <v>15</v>
      </c>
      <c r="B18" s="39" t="s">
        <v>235</v>
      </c>
      <c r="C18" s="5"/>
      <c r="D18" s="39"/>
      <c r="E18" s="39">
        <v>1</v>
      </c>
      <c r="F18" s="17"/>
      <c r="G18" s="79">
        <v>240000</v>
      </c>
      <c r="I18" s="16"/>
    </row>
    <row r="19" spans="1:9" x14ac:dyDescent="0.35">
      <c r="A19" s="14">
        <v>16</v>
      </c>
      <c r="B19" s="39" t="s">
        <v>236</v>
      </c>
      <c r="C19" s="5"/>
      <c r="D19" s="39"/>
      <c r="E19" s="39">
        <v>1</v>
      </c>
      <c r="F19" s="17"/>
      <c r="G19" s="79">
        <v>55000</v>
      </c>
    </row>
    <row r="20" spans="1:9" s="22" customFormat="1" x14ac:dyDescent="0.35">
      <c r="A20" s="19" t="s">
        <v>34</v>
      </c>
      <c r="B20" s="20"/>
      <c r="C20" s="20"/>
      <c r="D20" s="20"/>
      <c r="E20" s="20"/>
      <c r="F20" s="20"/>
      <c r="G20" s="21">
        <f>SUM(G4:G19)</f>
        <v>3435000</v>
      </c>
    </row>
    <row r="21" spans="1:9" x14ac:dyDescent="0.35">
      <c r="A21" s="14"/>
      <c r="B21" s="5"/>
      <c r="C21" s="5"/>
      <c r="D21" s="5"/>
      <c r="E21" s="5"/>
      <c r="F21" s="5"/>
      <c r="G21" s="6"/>
    </row>
    <row r="22" spans="1:9" s="22" customFormat="1" x14ac:dyDescent="0.35">
      <c r="A22" s="19" t="s">
        <v>35</v>
      </c>
      <c r="B22" s="20"/>
      <c r="C22" s="20"/>
      <c r="D22" s="20"/>
      <c r="E22" s="20"/>
      <c r="F22" s="20"/>
      <c r="G22" s="21"/>
    </row>
    <row r="23" spans="1:9" x14ac:dyDescent="0.35">
      <c r="G23" s="24"/>
    </row>
    <row r="24" spans="1:9" x14ac:dyDescent="0.35">
      <c r="G24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K45"/>
  <sheetViews>
    <sheetView topLeftCell="C22" workbookViewId="0">
      <selection activeCell="H33" sqref="H33:K33"/>
    </sheetView>
  </sheetViews>
  <sheetFormatPr defaultRowHeight="14.5" x14ac:dyDescent="0.35"/>
  <cols>
    <col min="2" max="2" width="55.7265625" bestFit="1" customWidth="1"/>
    <col min="3" max="11" width="15.6328125" bestFit="1" customWidth="1"/>
  </cols>
  <sheetData>
    <row r="1" spans="1:11" x14ac:dyDescent="0.35">
      <c r="A1" s="22" t="s">
        <v>36</v>
      </c>
    </row>
    <row r="3" spans="1:11" x14ac:dyDescent="0.35">
      <c r="A3" s="38" t="s">
        <v>37</v>
      </c>
      <c r="B3" s="38" t="s">
        <v>38</v>
      </c>
      <c r="C3" s="104" t="s">
        <v>48</v>
      </c>
      <c r="D3" s="104"/>
      <c r="E3" s="104"/>
      <c r="F3" s="104"/>
      <c r="G3" s="104"/>
      <c r="H3" s="104"/>
      <c r="I3" s="104"/>
      <c r="J3" s="104"/>
      <c r="K3" s="104"/>
    </row>
    <row r="4" spans="1:11" x14ac:dyDescent="0.35">
      <c r="A4" s="38"/>
      <c r="B4" s="38"/>
      <c r="C4" s="38" t="s">
        <v>39</v>
      </c>
      <c r="D4" s="38" t="s">
        <v>40</v>
      </c>
      <c r="E4" s="38" t="s">
        <v>41</v>
      </c>
      <c r="F4" s="38" t="s">
        <v>42</v>
      </c>
      <c r="G4" s="38" t="s">
        <v>43</v>
      </c>
      <c r="H4" s="38" t="s">
        <v>44</v>
      </c>
      <c r="I4" s="38" t="s">
        <v>45</v>
      </c>
      <c r="J4" s="38" t="s">
        <v>46</v>
      </c>
      <c r="K4" s="38" t="s">
        <v>47</v>
      </c>
    </row>
    <row r="5" spans="1:11" x14ac:dyDescent="0.35">
      <c r="A5" s="12"/>
      <c r="B5" s="12" t="s">
        <v>49</v>
      </c>
      <c r="C5" s="12">
        <v>12</v>
      </c>
      <c r="D5" s="12">
        <v>12</v>
      </c>
      <c r="E5" s="12">
        <v>12</v>
      </c>
      <c r="F5" s="12">
        <v>12</v>
      </c>
      <c r="G5" s="12">
        <v>12</v>
      </c>
      <c r="H5" s="12">
        <v>12</v>
      </c>
      <c r="I5" s="12">
        <v>12</v>
      </c>
      <c r="J5" s="12">
        <v>12</v>
      </c>
      <c r="K5" s="12">
        <v>12</v>
      </c>
    </row>
    <row r="6" spans="1:1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35">
      <c r="A7" s="12"/>
      <c r="B7" s="12" t="s">
        <v>199</v>
      </c>
      <c r="C7" s="30">
        <f>Budgets!B5*1.02*Budgets!$D$16</f>
        <v>3701376000</v>
      </c>
      <c r="D7" s="30">
        <f>Budgets!C5*1.02*Budgets!$D$16</f>
        <v>3965760000</v>
      </c>
      <c r="E7" s="30">
        <f>Budgets!D5*1.02*Budgets!$D$16</f>
        <v>4230144000</v>
      </c>
      <c r="F7" s="30">
        <f>Budgets!E5*1.02*Budgets!$D$16</f>
        <v>4494528000</v>
      </c>
      <c r="G7" s="30">
        <f>Budgets!F5*1.02*Budgets!$D$16</f>
        <v>4758912000</v>
      </c>
      <c r="H7" s="30">
        <f>Budgets!G5*1.02*Budgets!$D$16</f>
        <v>5023296000</v>
      </c>
      <c r="I7" s="30">
        <f>Budgets!H5*1.02*Budgets!$D$16</f>
        <v>5287680000</v>
      </c>
      <c r="J7" s="30">
        <f>Budgets!I5*1.02*Budgets!$D$16</f>
        <v>5287680000</v>
      </c>
      <c r="K7" s="30">
        <f>Budgets!J5*1.02*Budgets!$D$16</f>
        <v>5287680000</v>
      </c>
    </row>
    <row r="8" spans="1:11" x14ac:dyDescent="0.35">
      <c r="A8" s="12"/>
      <c r="B8" s="12" t="s">
        <v>200</v>
      </c>
      <c r="C8" s="30">
        <f>140000+C44</f>
        <v>1820000</v>
      </c>
      <c r="D8" s="30">
        <f t="shared" ref="D8:K8" si="0">140000+D44</f>
        <v>1904000</v>
      </c>
      <c r="E8" s="30">
        <f t="shared" si="0"/>
        <v>1992200</v>
      </c>
      <c r="F8" s="30">
        <f t="shared" si="0"/>
        <v>2084810</v>
      </c>
      <c r="G8" s="30">
        <f t="shared" si="0"/>
        <v>2182050.5</v>
      </c>
      <c r="H8" s="30">
        <f t="shared" si="0"/>
        <v>2284153.0250000004</v>
      </c>
      <c r="I8" s="30">
        <f t="shared" si="0"/>
        <v>2391360.6762500005</v>
      </c>
      <c r="J8" s="30">
        <f t="shared" si="0"/>
        <v>2391360.6762500005</v>
      </c>
      <c r="K8" s="30">
        <f t="shared" si="0"/>
        <v>2391360.6762500005</v>
      </c>
    </row>
    <row r="9" spans="1:11" x14ac:dyDescent="0.35">
      <c r="A9" s="12"/>
      <c r="B9" s="12" t="s">
        <v>284</v>
      </c>
      <c r="C9" s="30">
        <f>C7*0.1%</f>
        <v>3701376</v>
      </c>
      <c r="D9" s="30">
        <f t="shared" ref="D9:K9" si="1">D7*0.1%</f>
        <v>3965760</v>
      </c>
      <c r="E9" s="30">
        <f t="shared" si="1"/>
        <v>4230144</v>
      </c>
      <c r="F9" s="30">
        <f t="shared" si="1"/>
        <v>4494528</v>
      </c>
      <c r="G9" s="30">
        <f t="shared" si="1"/>
        <v>4758912</v>
      </c>
      <c r="H9" s="30">
        <f t="shared" si="1"/>
        <v>5023296</v>
      </c>
      <c r="I9" s="30">
        <f t="shared" si="1"/>
        <v>5287680</v>
      </c>
      <c r="J9" s="30">
        <f t="shared" si="1"/>
        <v>5287680</v>
      </c>
      <c r="K9" s="30">
        <f t="shared" si="1"/>
        <v>5287680</v>
      </c>
    </row>
    <row r="10" spans="1:11" x14ac:dyDescent="0.35">
      <c r="A10" s="12"/>
      <c r="B10" s="12" t="s">
        <v>204</v>
      </c>
      <c r="C10" s="30">
        <f>SUM(C7:C9)</f>
        <v>3706897376</v>
      </c>
      <c r="D10" s="30">
        <f t="shared" ref="D10:K10" si="2">SUM(D7:D9)</f>
        <v>3971629760</v>
      </c>
      <c r="E10" s="30">
        <f t="shared" si="2"/>
        <v>4236366344</v>
      </c>
      <c r="F10" s="30">
        <f t="shared" si="2"/>
        <v>4501107338</v>
      </c>
      <c r="G10" s="30">
        <f t="shared" si="2"/>
        <v>4765852962.5</v>
      </c>
      <c r="H10" s="30">
        <f t="shared" si="2"/>
        <v>5030603449.0249996</v>
      </c>
      <c r="I10" s="30">
        <f t="shared" si="2"/>
        <v>5295359040.6762505</v>
      </c>
      <c r="J10" s="30">
        <f t="shared" si="2"/>
        <v>5295359040.6762505</v>
      </c>
      <c r="K10" s="30">
        <f t="shared" si="2"/>
        <v>5295359040.6762505</v>
      </c>
    </row>
    <row r="11" spans="1:11" x14ac:dyDescent="0.35">
      <c r="A11" s="12"/>
      <c r="B11" s="12" t="s">
        <v>205</v>
      </c>
      <c r="C11" s="30">
        <v>0</v>
      </c>
      <c r="D11" s="30">
        <f>C12</f>
        <v>40320000</v>
      </c>
      <c r="E11" s="30">
        <f t="shared" ref="E11:K11" si="3">D12</f>
        <v>83520000</v>
      </c>
      <c r="F11" s="30">
        <f t="shared" si="3"/>
        <v>129600000</v>
      </c>
      <c r="G11" s="30">
        <f t="shared" si="3"/>
        <v>178560000</v>
      </c>
      <c r="H11" s="30">
        <f t="shared" si="3"/>
        <v>126720000</v>
      </c>
      <c r="I11" s="30">
        <f t="shared" si="3"/>
        <v>72000000</v>
      </c>
      <c r="J11" s="30">
        <f t="shared" si="3"/>
        <v>14400000</v>
      </c>
      <c r="K11" s="30">
        <f t="shared" si="3"/>
        <v>0</v>
      </c>
    </row>
    <row r="12" spans="1:11" x14ac:dyDescent="0.35">
      <c r="A12" s="12"/>
      <c r="B12" s="12" t="s">
        <v>206</v>
      </c>
      <c r="C12" s="30">
        <f>Budgets!B24*20</f>
        <v>40320000</v>
      </c>
      <c r="D12" s="30">
        <f>Budgets!C24*20</f>
        <v>83520000</v>
      </c>
      <c r="E12" s="30">
        <f>Budgets!D24*20</f>
        <v>129600000</v>
      </c>
      <c r="F12" s="30">
        <f>Budgets!E24*20</f>
        <v>178560000</v>
      </c>
      <c r="G12" s="30">
        <f>Budgets!F24*20</f>
        <v>126720000</v>
      </c>
      <c r="H12" s="30">
        <f>Budgets!G24*20</f>
        <v>72000000</v>
      </c>
      <c r="I12" s="30">
        <f>Budgets!H24*20</f>
        <v>14400000</v>
      </c>
      <c r="J12" s="30">
        <f>Budgets!I24*20</f>
        <v>0</v>
      </c>
      <c r="K12" s="30">
        <f>Budgets!J24*20</f>
        <v>0</v>
      </c>
    </row>
    <row r="13" spans="1:11" x14ac:dyDescent="0.35">
      <c r="A13" s="12"/>
      <c r="B13" s="12" t="s">
        <v>208</v>
      </c>
      <c r="C13" s="30">
        <f>C10+C11-C12</f>
        <v>3666577376</v>
      </c>
      <c r="D13" s="30">
        <f t="shared" ref="D13:K13" si="4">D10+D11-D12</f>
        <v>3928429760</v>
      </c>
      <c r="E13" s="30">
        <f t="shared" si="4"/>
        <v>4190286344</v>
      </c>
      <c r="F13" s="30">
        <f t="shared" si="4"/>
        <v>4452147338</v>
      </c>
      <c r="G13" s="30">
        <f t="shared" si="4"/>
        <v>4817692962.5</v>
      </c>
      <c r="H13" s="30">
        <f t="shared" si="4"/>
        <v>5085323449.0249996</v>
      </c>
      <c r="I13" s="30">
        <f t="shared" si="4"/>
        <v>5352959040.6762505</v>
      </c>
      <c r="J13" s="30">
        <f t="shared" si="4"/>
        <v>5309759040.6762505</v>
      </c>
      <c r="K13" s="30">
        <f t="shared" si="4"/>
        <v>5295359040.6762505</v>
      </c>
    </row>
    <row r="14" spans="1:11" x14ac:dyDescent="0.35">
      <c r="A14" s="12"/>
      <c r="B14" s="12"/>
      <c r="C14" s="30"/>
      <c r="D14" s="30"/>
      <c r="E14" s="30"/>
      <c r="F14" s="30"/>
      <c r="G14" s="30"/>
      <c r="H14" s="30"/>
      <c r="I14" s="30"/>
      <c r="J14" s="30"/>
      <c r="K14" s="30"/>
    </row>
    <row r="15" spans="1:11" x14ac:dyDescent="0.35">
      <c r="A15" s="12"/>
      <c r="B15" s="12"/>
      <c r="C15" s="30"/>
      <c r="D15" s="30"/>
      <c r="E15" s="30"/>
      <c r="F15" s="30"/>
      <c r="G15" s="30"/>
      <c r="H15" s="30"/>
      <c r="I15" s="30"/>
      <c r="J15" s="30"/>
      <c r="K15" s="30"/>
    </row>
    <row r="16" spans="1:11" x14ac:dyDescent="0.35">
      <c r="A16" s="12"/>
      <c r="B16" s="12" t="s">
        <v>51</v>
      </c>
      <c r="C16" s="30">
        <f>'Ann 8'!E13</f>
        <v>1965120</v>
      </c>
      <c r="D16" s="30">
        <f>1.05*C16</f>
        <v>2063376</v>
      </c>
      <c r="E16" s="30">
        <f t="shared" ref="E16:K16" si="5">1.05*D16</f>
        <v>2166544.8000000003</v>
      </c>
      <c r="F16" s="30">
        <f t="shared" si="5"/>
        <v>2274872.0400000005</v>
      </c>
      <c r="G16" s="30">
        <f t="shared" si="5"/>
        <v>2388615.6420000005</v>
      </c>
      <c r="H16" s="30">
        <f t="shared" si="5"/>
        <v>2508046.4241000004</v>
      </c>
      <c r="I16" s="30">
        <f t="shared" si="5"/>
        <v>2633448.7453050003</v>
      </c>
      <c r="J16" s="30">
        <f t="shared" si="5"/>
        <v>2765121.1825702507</v>
      </c>
      <c r="K16" s="30">
        <f t="shared" si="5"/>
        <v>2903377.2416987633</v>
      </c>
    </row>
    <row r="17" spans="1:11" x14ac:dyDescent="0.35">
      <c r="A17" s="12"/>
      <c r="B17" s="12" t="s">
        <v>285</v>
      </c>
      <c r="C17" s="30">
        <f>Budgets!B6*1</f>
        <v>199584000</v>
      </c>
      <c r="D17" s="30">
        <f>Budgets!C6*1</f>
        <v>213840000</v>
      </c>
      <c r="E17" s="30">
        <f>Budgets!D6*1</f>
        <v>228096000</v>
      </c>
      <c r="F17" s="30">
        <f>Budgets!E6*1</f>
        <v>242352000</v>
      </c>
      <c r="G17" s="30">
        <f>Budgets!F6*1</f>
        <v>261792000</v>
      </c>
      <c r="H17" s="30">
        <f>Budgets!G6*1</f>
        <v>276336000</v>
      </c>
      <c r="I17" s="30">
        <f>Budgets!H6*1</f>
        <v>290880000</v>
      </c>
      <c r="J17" s="30">
        <f>Budgets!I6*1</f>
        <v>288720000</v>
      </c>
      <c r="K17" s="30">
        <f>Budgets!J6*1</f>
        <v>288000000</v>
      </c>
    </row>
    <row r="18" spans="1:11" x14ac:dyDescent="0.35">
      <c r="A18" s="12"/>
      <c r="B18" s="12" t="s">
        <v>8</v>
      </c>
      <c r="C18" s="30">
        <f t="shared" ref="C18:K18" si="6">SUM(C16:C17)</f>
        <v>201549120</v>
      </c>
      <c r="D18" s="30">
        <f t="shared" si="6"/>
        <v>215903376</v>
      </c>
      <c r="E18" s="30">
        <f t="shared" si="6"/>
        <v>230262544.80000001</v>
      </c>
      <c r="F18" s="30">
        <f t="shared" si="6"/>
        <v>244626872.03999999</v>
      </c>
      <c r="G18" s="30">
        <f t="shared" si="6"/>
        <v>264180615.64199999</v>
      </c>
      <c r="H18" s="30">
        <f t="shared" si="6"/>
        <v>278844046.42409998</v>
      </c>
      <c r="I18" s="30">
        <f t="shared" si="6"/>
        <v>293513448.745305</v>
      </c>
      <c r="J18" s="30">
        <f t="shared" si="6"/>
        <v>291485121.18257028</v>
      </c>
      <c r="K18" s="30">
        <f t="shared" si="6"/>
        <v>290903377.24169874</v>
      </c>
    </row>
    <row r="19" spans="1:11" x14ac:dyDescent="0.35">
      <c r="A19" s="12"/>
      <c r="B19" s="12"/>
      <c r="C19" s="30"/>
      <c r="D19" s="30"/>
      <c r="E19" s="30"/>
      <c r="F19" s="30"/>
      <c r="G19" s="30"/>
      <c r="H19" s="30"/>
      <c r="I19" s="30"/>
      <c r="J19" s="30"/>
      <c r="K19" s="30"/>
    </row>
    <row r="20" spans="1:11" x14ac:dyDescent="0.35">
      <c r="A20" s="12"/>
      <c r="B20" s="12" t="s">
        <v>94</v>
      </c>
      <c r="C20" s="30">
        <f t="shared" ref="C20:K20" si="7">C18+C13</f>
        <v>3868126496</v>
      </c>
      <c r="D20" s="30">
        <f t="shared" si="7"/>
        <v>4144333136</v>
      </c>
      <c r="E20" s="30">
        <f t="shared" si="7"/>
        <v>4420548888.8000002</v>
      </c>
      <c r="F20" s="30">
        <f t="shared" si="7"/>
        <v>4696774210.04</v>
      </c>
      <c r="G20" s="30">
        <f t="shared" si="7"/>
        <v>5081873578.1420002</v>
      </c>
      <c r="H20" s="30">
        <f t="shared" si="7"/>
        <v>5364167495.4490995</v>
      </c>
      <c r="I20" s="30">
        <f t="shared" si="7"/>
        <v>5646472489.4215555</v>
      </c>
      <c r="J20" s="30">
        <f t="shared" si="7"/>
        <v>5601244161.8588209</v>
      </c>
      <c r="K20" s="30">
        <f t="shared" si="7"/>
        <v>5586262417.9179497</v>
      </c>
    </row>
    <row r="21" spans="1:11" x14ac:dyDescent="0.35">
      <c r="A21" s="12"/>
      <c r="B21" s="12" t="s">
        <v>95</v>
      </c>
      <c r="C21" s="30">
        <f>Budgets!B7</f>
        <v>4032000000</v>
      </c>
      <c r="D21" s="30">
        <f>Budgets!C7</f>
        <v>4273920000</v>
      </c>
      <c r="E21" s="30">
        <f>Budgets!D7</f>
        <v>4530355200</v>
      </c>
      <c r="F21" s="30">
        <f>Budgets!E7</f>
        <v>4802176512</v>
      </c>
      <c r="G21" s="30">
        <f>Budgets!F7</f>
        <v>5090307102.7200003</v>
      </c>
      <c r="H21" s="30">
        <f>Budgets!G7</f>
        <v>5395725528.8832006</v>
      </c>
      <c r="I21" s="30">
        <f>Budgets!H7</f>
        <v>5719469060.6161928</v>
      </c>
      <c r="J21" s="30">
        <f>Budgets!I7</f>
        <v>6062637204.2531643</v>
      </c>
      <c r="K21" s="30">
        <f>Budgets!J7</f>
        <v>6426395436.5083542</v>
      </c>
    </row>
    <row r="22" spans="1:11" x14ac:dyDescent="0.35">
      <c r="A22" s="12"/>
      <c r="B22" s="12" t="s">
        <v>96</v>
      </c>
      <c r="C22" s="30">
        <f>C21-C20</f>
        <v>163873504</v>
      </c>
      <c r="D22" s="30">
        <f t="shared" ref="D22:K22" si="8">D21-D20</f>
        <v>129586864</v>
      </c>
      <c r="E22" s="30">
        <f t="shared" si="8"/>
        <v>109806311.19999981</v>
      </c>
      <c r="F22" s="30">
        <f t="shared" si="8"/>
        <v>105402301.96000004</v>
      </c>
      <c r="G22" s="30">
        <f t="shared" si="8"/>
        <v>8433524.5780000687</v>
      </c>
      <c r="H22" s="30">
        <f t="shared" si="8"/>
        <v>31558033.434101105</v>
      </c>
      <c r="I22" s="30">
        <f t="shared" si="8"/>
        <v>72996571.194637299</v>
      </c>
      <c r="J22" s="30">
        <f t="shared" si="8"/>
        <v>461393042.39434338</v>
      </c>
      <c r="K22" s="30">
        <f t="shared" si="8"/>
        <v>840133018.59040451</v>
      </c>
    </row>
    <row r="23" spans="1:11" x14ac:dyDescent="0.35">
      <c r="A23" s="12"/>
      <c r="B23" s="12"/>
      <c r="C23" s="30"/>
      <c r="D23" s="30"/>
      <c r="E23" s="30"/>
      <c r="F23" s="30"/>
      <c r="G23" s="30"/>
      <c r="H23" s="30"/>
      <c r="I23" s="30"/>
      <c r="J23" s="30"/>
      <c r="K23" s="30"/>
    </row>
    <row r="24" spans="1:11" x14ac:dyDescent="0.35">
      <c r="A24" s="12"/>
      <c r="B24" s="12" t="s">
        <v>97</v>
      </c>
      <c r="C24" s="30"/>
      <c r="D24" s="30"/>
      <c r="E24" s="30"/>
      <c r="F24" s="30"/>
      <c r="G24" s="30"/>
      <c r="H24" s="30"/>
      <c r="I24" s="30"/>
      <c r="J24" s="30"/>
      <c r="K24" s="30"/>
    </row>
    <row r="25" spans="1:11" x14ac:dyDescent="0.35">
      <c r="A25" s="12"/>
      <c r="B25" s="12" t="s">
        <v>98</v>
      </c>
      <c r="C25" s="30">
        <f>SUM('Ann 13'!E10:E13)*100000</f>
        <v>1282891.5000000002</v>
      </c>
      <c r="D25" s="30">
        <f>SUM('Ann 13'!E14:E17)*100000</f>
        <v>1120983.0000000002</v>
      </c>
      <c r="E25" s="30">
        <f>SUM('Ann 13'!E18:E21)*100000</f>
        <v>921711.00000000035</v>
      </c>
      <c r="F25" s="30">
        <f>SUM('Ann 13'!E22:E25)*100000</f>
        <v>722439.00000000023</v>
      </c>
      <c r="G25" s="30">
        <f>SUM('Ann 13'!E26:E29)*100000</f>
        <v>523167.00000000041</v>
      </c>
      <c r="H25" s="30">
        <f>SUM('Ann 13'!E30:E33)*100000</f>
        <v>186856.5000000002</v>
      </c>
      <c r="I25" s="30">
        <f>SUM('Ann 13'!E34:E37)*100000</f>
        <v>0</v>
      </c>
      <c r="J25" s="30">
        <v>0</v>
      </c>
      <c r="K25" s="30">
        <v>0</v>
      </c>
    </row>
    <row r="26" spans="1:11" x14ac:dyDescent="0.35">
      <c r="A26" s="12"/>
      <c r="B26" s="12" t="s">
        <v>175</v>
      </c>
      <c r="C26" s="30">
        <f>10000000*10%</f>
        <v>1000000</v>
      </c>
      <c r="D26" s="30">
        <f t="shared" ref="D26:K26" si="9">10000000*10%</f>
        <v>1000000</v>
      </c>
      <c r="E26" s="30">
        <f t="shared" si="9"/>
        <v>1000000</v>
      </c>
      <c r="F26" s="30">
        <f t="shared" si="9"/>
        <v>1000000</v>
      </c>
      <c r="G26" s="30">
        <f t="shared" si="9"/>
        <v>1000000</v>
      </c>
      <c r="H26" s="30">
        <f t="shared" si="9"/>
        <v>1000000</v>
      </c>
      <c r="I26" s="30">
        <f t="shared" si="9"/>
        <v>1000000</v>
      </c>
      <c r="J26" s="30">
        <f t="shared" si="9"/>
        <v>1000000</v>
      </c>
      <c r="K26" s="30">
        <f t="shared" si="9"/>
        <v>1000000</v>
      </c>
    </row>
    <row r="27" spans="1:11" x14ac:dyDescent="0.35">
      <c r="A27" s="12"/>
      <c r="B27" s="41" t="s">
        <v>108</v>
      </c>
      <c r="C27" s="30">
        <f>SUM(C25:C26)</f>
        <v>2282891.5</v>
      </c>
      <c r="D27" s="30">
        <f t="shared" ref="D27:K27" si="10">SUM(D25:D26)</f>
        <v>2120983</v>
      </c>
      <c r="E27" s="30">
        <f t="shared" si="10"/>
        <v>1921711.0000000005</v>
      </c>
      <c r="F27" s="30">
        <f t="shared" si="10"/>
        <v>1722439.0000000002</v>
      </c>
      <c r="G27" s="30">
        <f t="shared" si="10"/>
        <v>1523167.0000000005</v>
      </c>
      <c r="H27" s="30">
        <f t="shared" si="10"/>
        <v>1186856.5000000002</v>
      </c>
      <c r="I27" s="30">
        <f t="shared" si="10"/>
        <v>1000000</v>
      </c>
      <c r="J27" s="30">
        <f t="shared" si="10"/>
        <v>1000000</v>
      </c>
      <c r="K27" s="30">
        <f t="shared" si="10"/>
        <v>1000000</v>
      </c>
    </row>
    <row r="28" spans="1:11" x14ac:dyDescent="0.35">
      <c r="A28" s="12"/>
      <c r="B28" s="12"/>
      <c r="C28" s="30"/>
      <c r="D28" s="30"/>
      <c r="E28" s="30"/>
      <c r="F28" s="30"/>
      <c r="G28" s="30"/>
      <c r="H28" s="30"/>
      <c r="I28" s="30"/>
      <c r="J28" s="30"/>
      <c r="K28" s="30"/>
    </row>
    <row r="29" spans="1:11" x14ac:dyDescent="0.35">
      <c r="A29" s="12"/>
      <c r="B29" s="12" t="s">
        <v>109</v>
      </c>
      <c r="C29" s="30">
        <f t="shared" ref="C29:K29" si="11">C22-C27</f>
        <v>161590612.5</v>
      </c>
      <c r="D29" s="30">
        <f t="shared" si="11"/>
        <v>127465881</v>
      </c>
      <c r="E29" s="30">
        <f t="shared" si="11"/>
        <v>107884600.19999981</v>
      </c>
      <c r="F29" s="30">
        <f t="shared" si="11"/>
        <v>103679862.96000004</v>
      </c>
      <c r="G29" s="30">
        <f t="shared" si="11"/>
        <v>6910357.5780000687</v>
      </c>
      <c r="H29" s="30">
        <f t="shared" si="11"/>
        <v>30371176.934101105</v>
      </c>
      <c r="I29" s="30">
        <f t="shared" si="11"/>
        <v>71996571.194637299</v>
      </c>
      <c r="J29" s="30">
        <f t="shared" si="11"/>
        <v>460393042.39434338</v>
      </c>
      <c r="K29" s="30">
        <f t="shared" si="11"/>
        <v>839133018.59040451</v>
      </c>
    </row>
    <row r="30" spans="1:11" x14ac:dyDescent="0.35">
      <c r="A30" s="12"/>
      <c r="B30" s="12" t="s">
        <v>212</v>
      </c>
      <c r="C30" s="30">
        <f>'Ann 1'!C35*100000</f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</row>
    <row r="31" spans="1:11" x14ac:dyDescent="0.35">
      <c r="A31" s="12"/>
      <c r="B31" s="12" t="s">
        <v>302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f>'Ann 13'!C32*100000</f>
        <v>5264850.0000000065</v>
      </c>
      <c r="I31" s="30">
        <v>0</v>
      </c>
      <c r="J31" s="30">
        <v>0</v>
      </c>
      <c r="K31" s="30">
        <v>0</v>
      </c>
    </row>
    <row r="32" spans="1:11" x14ac:dyDescent="0.35">
      <c r="A32" s="12"/>
      <c r="B32" s="41" t="s">
        <v>110</v>
      </c>
      <c r="C32" s="30">
        <f>'Ann 9'!C12+'Ann 9'!D12+'Ann 9'!E12</f>
        <v>2986150</v>
      </c>
      <c r="D32" s="30">
        <f>'Ann 9'!C13+'Ann 9'!D13+'Ann 9'!E13</f>
        <v>2616097.5</v>
      </c>
      <c r="E32" s="30">
        <f>'Ann 9'!C14+'Ann 9'!D14+'Ann 9'!E14</f>
        <v>2293765.875</v>
      </c>
      <c r="F32" s="30">
        <f>'Ann 9'!C15+'Ann 9'!D15+'Ann 9'!E15</f>
        <v>2012775.6937500001</v>
      </c>
      <c r="G32" s="30">
        <f>'Ann 9'!C16+'Ann 9'!D16+'Ann 9'!E16</f>
        <v>1767626.5696875001</v>
      </c>
      <c r="H32" s="30">
        <f>'Ann 9'!C17+'Ann 9'!D17+'Ann 9'!E17</f>
        <v>1553573.091234375</v>
      </c>
      <c r="I32" s="30">
        <f>'Ann 9'!C18+'Ann 9'!D18+'Ann 9'!E18</f>
        <v>1366518.5838492187</v>
      </c>
      <c r="J32" s="30">
        <f>'Ann 9'!C19+'Ann 9'!D19+'Ann 9'!E19</f>
        <v>1202924.106941836</v>
      </c>
      <c r="K32" s="30">
        <f>'Ann 9'!C20+'Ann 9'!D20+'Ann 9'!E20</f>
        <v>1059730.4705035607</v>
      </c>
    </row>
    <row r="33" spans="1:11" x14ac:dyDescent="0.35">
      <c r="A33" s="12"/>
      <c r="B33" s="41" t="s">
        <v>111</v>
      </c>
      <c r="C33" s="30">
        <f>C29-C32-C30</f>
        <v>158604462.5</v>
      </c>
      <c r="D33" s="30">
        <f t="shared" ref="D33:G33" si="12">D29-D32-D30</f>
        <v>124849783.5</v>
      </c>
      <c r="E33" s="30">
        <f t="shared" si="12"/>
        <v>105590834.32499981</v>
      </c>
      <c r="F33" s="30">
        <f t="shared" si="12"/>
        <v>101667087.26625004</v>
      </c>
      <c r="G33" s="30">
        <f t="shared" si="12"/>
        <v>5142731.0083125681</v>
      </c>
      <c r="H33" s="30">
        <f>H29-H32-H30+H31</f>
        <v>34082453.842866734</v>
      </c>
      <c r="I33" s="30">
        <f t="shared" ref="I33:K33" si="13">I29-I32-I30+I31</f>
        <v>70630052.610788077</v>
      </c>
      <c r="J33" s="30">
        <f t="shared" si="13"/>
        <v>459190118.28740156</v>
      </c>
      <c r="K33" s="30">
        <f t="shared" si="13"/>
        <v>838073288.11990094</v>
      </c>
    </row>
    <row r="34" spans="1:11" x14ac:dyDescent="0.35">
      <c r="A34" s="12"/>
      <c r="B34" s="41" t="s">
        <v>112</v>
      </c>
      <c r="C34" s="30">
        <f>'Ann 10'!B14</f>
        <v>47581338.75</v>
      </c>
      <c r="D34" s="30">
        <f>'Ann 10'!C14</f>
        <v>37454935.049999997</v>
      </c>
      <c r="E34" s="30">
        <f>'Ann 10'!D14</f>
        <v>31677250.29749994</v>
      </c>
      <c r="F34" s="30">
        <f>'Ann 10'!E14</f>
        <v>30500126.179875012</v>
      </c>
      <c r="G34" s="30">
        <f>'Ann 10'!F14</f>
        <v>1542819.3024937704</v>
      </c>
      <c r="H34" s="30">
        <f>'Ann 10'!G14</f>
        <v>8645281.1528600194</v>
      </c>
      <c r="I34" s="30">
        <f>'Ann 10'!H14</f>
        <v>21189015.783236422</v>
      </c>
      <c r="J34" s="30">
        <f>'Ann 10'!I14</f>
        <v>137757035.48622045</v>
      </c>
      <c r="K34" s="30">
        <f>'Ann 10'!J14</f>
        <v>251421986.43597028</v>
      </c>
    </row>
    <row r="35" spans="1:11" x14ac:dyDescent="0.35">
      <c r="A35" s="12"/>
      <c r="B35" s="41" t="s">
        <v>113</v>
      </c>
      <c r="C35" s="30">
        <f>C33-C34</f>
        <v>111023123.75</v>
      </c>
      <c r="D35" s="30">
        <f>D33-D34</f>
        <v>87394848.450000003</v>
      </c>
      <c r="E35" s="30">
        <f t="shared" ref="E35:K35" si="14">E33-E34</f>
        <v>73913584.027499869</v>
      </c>
      <c r="F35" s="30">
        <f t="shared" si="14"/>
        <v>71166961.086375028</v>
      </c>
      <c r="G35" s="30">
        <f t="shared" si="14"/>
        <v>3599911.7058187975</v>
      </c>
      <c r="H35" s="30">
        <f t="shared" si="14"/>
        <v>25437172.690006714</v>
      </c>
      <c r="I35" s="30">
        <f t="shared" si="14"/>
        <v>49441036.827551655</v>
      </c>
      <c r="J35" s="30">
        <f t="shared" si="14"/>
        <v>321433082.80118108</v>
      </c>
      <c r="K35" s="30">
        <f t="shared" si="14"/>
        <v>586651301.68393064</v>
      </c>
    </row>
    <row r="36" spans="1:11" x14ac:dyDescent="0.35">
      <c r="A36" s="12"/>
      <c r="B36" s="41" t="s">
        <v>286</v>
      </c>
      <c r="C36" s="30">
        <f>C35*80%</f>
        <v>88818499</v>
      </c>
      <c r="D36" s="30">
        <f t="shared" ref="D36:K36" si="15">D35*80%</f>
        <v>69915878.760000005</v>
      </c>
      <c r="E36" s="30">
        <f t="shared" si="15"/>
        <v>59130867.221999899</v>
      </c>
      <c r="F36" s="30">
        <f t="shared" si="15"/>
        <v>56933568.869100027</v>
      </c>
      <c r="G36" s="30">
        <f t="shared" si="15"/>
        <v>2879929.3646550383</v>
      </c>
      <c r="H36" s="30">
        <f t="shared" si="15"/>
        <v>20349738.152005374</v>
      </c>
      <c r="I36" s="30">
        <f t="shared" si="15"/>
        <v>39552829.462041326</v>
      </c>
      <c r="J36" s="30">
        <f t="shared" si="15"/>
        <v>257146466.24094486</v>
      </c>
      <c r="K36" s="30">
        <f t="shared" si="15"/>
        <v>469321041.34714454</v>
      </c>
    </row>
    <row r="37" spans="1:11" x14ac:dyDescent="0.35">
      <c r="A37" s="12"/>
      <c r="B37" s="41" t="s">
        <v>123</v>
      </c>
      <c r="C37" s="30">
        <f>C35-C36</f>
        <v>22204624.75</v>
      </c>
      <c r="D37" s="30">
        <f t="shared" ref="D37:K37" si="16">D35-D36</f>
        <v>17478969.689999998</v>
      </c>
      <c r="E37" s="30">
        <f t="shared" si="16"/>
        <v>14782716.805499971</v>
      </c>
      <c r="F37" s="30">
        <f t="shared" si="16"/>
        <v>14233392.217275001</v>
      </c>
      <c r="G37" s="30">
        <f t="shared" si="16"/>
        <v>719982.34116375912</v>
      </c>
      <c r="H37" s="30">
        <f t="shared" si="16"/>
        <v>5087434.5380013399</v>
      </c>
      <c r="I37" s="30">
        <f t="shared" si="16"/>
        <v>9888207.3655103296</v>
      </c>
      <c r="J37" s="30">
        <f t="shared" si="16"/>
        <v>64286616.560236216</v>
      </c>
      <c r="K37" s="30">
        <f t="shared" si="16"/>
        <v>117330260.33678609</v>
      </c>
    </row>
    <row r="39" spans="1:11" x14ac:dyDescent="0.35">
      <c r="A39" t="s">
        <v>290</v>
      </c>
    </row>
    <row r="40" spans="1:11" x14ac:dyDescent="0.35">
      <c r="A40" t="s">
        <v>202</v>
      </c>
    </row>
    <row r="41" spans="1:11" x14ac:dyDescent="0.35">
      <c r="A41" t="s">
        <v>291</v>
      </c>
    </row>
    <row r="42" spans="1:11" x14ac:dyDescent="0.35">
      <c r="A42" t="s">
        <v>203</v>
      </c>
    </row>
    <row r="43" spans="1:11" x14ac:dyDescent="0.35">
      <c r="B43" t="s">
        <v>201</v>
      </c>
      <c r="C43">
        <v>140000</v>
      </c>
      <c r="D43">
        <f>C43*1.05</f>
        <v>147000</v>
      </c>
      <c r="E43">
        <f t="shared" ref="E43:I43" si="17">D43*1.05</f>
        <v>154350</v>
      </c>
      <c r="F43">
        <f t="shared" si="17"/>
        <v>162067.5</v>
      </c>
      <c r="G43">
        <f t="shared" si="17"/>
        <v>170170.875</v>
      </c>
      <c r="H43">
        <f t="shared" si="17"/>
        <v>178679.41875000001</v>
      </c>
      <c r="I43">
        <f t="shared" si="17"/>
        <v>187613.38968750002</v>
      </c>
      <c r="J43">
        <f>I43</f>
        <v>187613.38968750002</v>
      </c>
      <c r="K43">
        <f>J43</f>
        <v>187613.38968750002</v>
      </c>
    </row>
    <row r="44" spans="1:11" x14ac:dyDescent="0.35">
      <c r="B44" t="s">
        <v>73</v>
      </c>
      <c r="C44">
        <f>C43*12</f>
        <v>1680000</v>
      </c>
      <c r="D44">
        <f t="shared" ref="D44:K44" si="18">D43*12</f>
        <v>1764000</v>
      </c>
      <c r="E44">
        <f t="shared" si="18"/>
        <v>1852200</v>
      </c>
      <c r="F44">
        <f t="shared" si="18"/>
        <v>1944810</v>
      </c>
      <c r="G44">
        <f t="shared" si="18"/>
        <v>2042050.5</v>
      </c>
      <c r="H44">
        <f t="shared" si="18"/>
        <v>2144153.0250000004</v>
      </c>
      <c r="I44">
        <f t="shared" si="18"/>
        <v>2251360.6762500005</v>
      </c>
      <c r="J44">
        <f t="shared" si="18"/>
        <v>2251360.6762500005</v>
      </c>
      <c r="K44">
        <f t="shared" si="18"/>
        <v>2251360.6762500005</v>
      </c>
    </row>
    <row r="45" spans="1:11" x14ac:dyDescent="0.35">
      <c r="A45" t="s">
        <v>289</v>
      </c>
    </row>
  </sheetData>
  <mergeCells count="1">
    <mergeCell ref="C3:K3"/>
  </mergeCells>
  <pageMargins left="0.7" right="0.7" top="0.75" bottom="0.75" header="0.3" footer="0.3"/>
  <pageSetup scale="59" orientation="landscape" r:id="rId1"/>
  <ignoredErrors>
    <ignoredError sqref="D2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M55"/>
  <sheetViews>
    <sheetView topLeftCell="A32" workbookViewId="0">
      <selection activeCell="C26" sqref="C26"/>
    </sheetView>
  </sheetViews>
  <sheetFormatPr defaultRowHeight="14.5" x14ac:dyDescent="0.35"/>
  <cols>
    <col min="2" max="2" width="28.26953125" customWidth="1"/>
    <col min="3" max="3" width="15.6328125" bestFit="1" customWidth="1"/>
    <col min="4" max="10" width="13.7265625" bestFit="1" customWidth="1"/>
    <col min="11" max="11" width="13.6328125" bestFit="1" customWidth="1"/>
    <col min="12" max="12" width="10" bestFit="1" customWidth="1"/>
  </cols>
  <sheetData>
    <row r="1" spans="1:11" x14ac:dyDescent="0.35">
      <c r="A1" s="22" t="s">
        <v>124</v>
      </c>
    </row>
    <row r="3" spans="1:11" x14ac:dyDescent="0.35">
      <c r="A3" t="s">
        <v>125</v>
      </c>
    </row>
    <row r="5" spans="1:11" x14ac:dyDescent="0.35">
      <c r="A5" s="105" t="s">
        <v>37</v>
      </c>
      <c r="B5" s="105" t="s">
        <v>38</v>
      </c>
      <c r="C5" s="105" t="s">
        <v>48</v>
      </c>
      <c r="D5" s="105"/>
      <c r="E5" s="105"/>
      <c r="F5" s="105"/>
      <c r="G5" s="105"/>
      <c r="H5" s="105"/>
      <c r="I5" s="105"/>
      <c r="J5" s="105"/>
      <c r="K5" s="105"/>
    </row>
    <row r="6" spans="1:11" x14ac:dyDescent="0.35">
      <c r="A6" s="105"/>
      <c r="B6" s="105"/>
      <c r="C6" s="34" t="s">
        <v>39</v>
      </c>
      <c r="D6" s="34" t="s">
        <v>40</v>
      </c>
      <c r="E6" s="34" t="s">
        <v>41</v>
      </c>
      <c r="F6" s="34" t="s">
        <v>42</v>
      </c>
      <c r="G6" s="34" t="s">
        <v>43</v>
      </c>
      <c r="H6" s="34" t="s">
        <v>44</v>
      </c>
      <c r="I6" s="34" t="s">
        <v>45</v>
      </c>
      <c r="J6" s="34" t="s">
        <v>46</v>
      </c>
      <c r="K6" s="34" t="s">
        <v>47</v>
      </c>
    </row>
    <row r="7" spans="1:11" x14ac:dyDescent="0.35">
      <c r="A7" s="43" t="s">
        <v>159</v>
      </c>
      <c r="B7" s="44" t="s">
        <v>126</v>
      </c>
      <c r="C7" s="55"/>
      <c r="D7" s="55"/>
      <c r="E7" s="46"/>
      <c r="F7" s="46"/>
      <c r="G7" s="46"/>
      <c r="H7" s="46"/>
      <c r="I7" s="46"/>
      <c r="J7" s="46"/>
      <c r="K7" s="46"/>
    </row>
    <row r="8" spans="1:11" x14ac:dyDescent="0.35">
      <c r="A8" s="14">
        <v>1</v>
      </c>
      <c r="B8" s="5" t="s">
        <v>127</v>
      </c>
      <c r="C8" s="9"/>
      <c r="D8" s="9"/>
      <c r="E8" s="6"/>
      <c r="F8" s="6"/>
      <c r="G8" s="6"/>
      <c r="H8" s="6"/>
      <c r="I8" s="6"/>
      <c r="J8" s="6"/>
      <c r="K8" s="6"/>
    </row>
    <row r="9" spans="1:11" x14ac:dyDescent="0.35">
      <c r="A9" s="14"/>
      <c r="B9" s="5" t="s">
        <v>128</v>
      </c>
      <c r="C9" s="56">
        <f>'Ann 9'!C6+'Ann 9'!D6+'Ann 9'!E6</f>
        <v>25099000</v>
      </c>
      <c r="D9" s="58">
        <f>C11</f>
        <v>22112850</v>
      </c>
      <c r="E9" s="27">
        <f t="shared" ref="E9:K9" si="0">D11</f>
        <v>19496752.5</v>
      </c>
      <c r="F9" s="27">
        <f t="shared" si="0"/>
        <v>17202986.625</v>
      </c>
      <c r="G9" s="27">
        <f t="shared" si="0"/>
        <v>15190210.93125</v>
      </c>
      <c r="H9" s="27">
        <f t="shared" si="0"/>
        <v>13422584.3615625</v>
      </c>
      <c r="I9" s="27">
        <f t="shared" si="0"/>
        <v>11869011.270328125</v>
      </c>
      <c r="J9" s="27">
        <f t="shared" si="0"/>
        <v>10502492.686478905</v>
      </c>
      <c r="K9" s="27">
        <f t="shared" si="0"/>
        <v>9299568.5795370694</v>
      </c>
    </row>
    <row r="10" spans="1:11" x14ac:dyDescent="0.35">
      <c r="A10" s="14"/>
      <c r="B10" s="5" t="s">
        <v>129</v>
      </c>
      <c r="C10" s="56">
        <f>'Ann 9'!C12+'Ann 9'!D12+'Ann 9'!E12</f>
        <v>2986150</v>
      </c>
      <c r="D10" s="58">
        <f>'Ann 9'!C13+'Ann 9'!D13+'Ann 9'!E13</f>
        <v>2616097.5</v>
      </c>
      <c r="E10" s="27">
        <f>'Ann 9'!C14+'Ann 9'!D14+'Ann 9'!E14</f>
        <v>2293765.875</v>
      </c>
      <c r="F10" s="27">
        <f>'Ann 9'!C15+'Ann 9'!D15+'Ann 9'!E15</f>
        <v>2012775.6937500001</v>
      </c>
      <c r="G10" s="27">
        <f>'Ann 9'!C16+'Ann 9'!D16+'Ann 9'!E16</f>
        <v>1767626.5696875001</v>
      </c>
      <c r="H10" s="27">
        <f>'Ann 9'!C17+'Ann 9'!D17+'Ann 9'!E17</f>
        <v>1553573.091234375</v>
      </c>
      <c r="I10" s="27">
        <f>+'Ann 9'!C18+'Ann 9'!D18+'Ann 9'!E18</f>
        <v>1366518.5838492187</v>
      </c>
      <c r="J10" s="27">
        <f>'Ann 9'!C19+'Ann 9'!D19+'Ann 9'!E19</f>
        <v>1202924.106941836</v>
      </c>
      <c r="K10" s="27">
        <f>+'Ann 9'!C20+'Ann 9'!D20+'Ann 9'!E20</f>
        <v>1059730.4705035607</v>
      </c>
    </row>
    <row r="11" spans="1:11" x14ac:dyDescent="0.35">
      <c r="A11" s="14"/>
      <c r="B11" s="5" t="s">
        <v>130</v>
      </c>
      <c r="C11" s="56">
        <f>C9-C10</f>
        <v>22112850</v>
      </c>
      <c r="D11" s="58">
        <f>D9-D10</f>
        <v>19496752.5</v>
      </c>
      <c r="E11" s="27">
        <f t="shared" ref="E11:K11" si="1">E9-E10</f>
        <v>17202986.625</v>
      </c>
      <c r="F11" s="27">
        <f t="shared" si="1"/>
        <v>15190210.93125</v>
      </c>
      <c r="G11" s="27">
        <f t="shared" si="1"/>
        <v>13422584.3615625</v>
      </c>
      <c r="H11" s="27">
        <f t="shared" si="1"/>
        <v>11869011.270328125</v>
      </c>
      <c r="I11" s="27">
        <f t="shared" si="1"/>
        <v>10502492.686478905</v>
      </c>
      <c r="J11" s="27">
        <f t="shared" si="1"/>
        <v>9299568.5795370694</v>
      </c>
      <c r="K11" s="27">
        <f t="shared" si="1"/>
        <v>8239838.1090335082</v>
      </c>
    </row>
    <row r="12" spans="1:11" x14ac:dyDescent="0.35">
      <c r="A12" s="14">
        <v>2</v>
      </c>
      <c r="B12" s="59" t="s">
        <v>195</v>
      </c>
      <c r="C12" s="56">
        <f>'Ann 4'!C12</f>
        <v>40320000</v>
      </c>
      <c r="D12" s="56">
        <f>'Ann 4'!D12</f>
        <v>83520000</v>
      </c>
      <c r="E12" s="56">
        <f>'Ann 4'!E12</f>
        <v>129600000</v>
      </c>
      <c r="F12" s="56">
        <f>'Ann 4'!F12</f>
        <v>178560000</v>
      </c>
      <c r="G12" s="56">
        <f>'Ann 4'!G12</f>
        <v>126720000</v>
      </c>
      <c r="H12" s="56">
        <f>'Ann 4'!H12</f>
        <v>72000000</v>
      </c>
      <c r="I12" s="56">
        <f>'Ann 4'!I12</f>
        <v>14400000</v>
      </c>
      <c r="J12" s="56">
        <f>'Ann 4'!J12</f>
        <v>0</v>
      </c>
      <c r="K12" s="56">
        <f>'Ann 4'!K12</f>
        <v>0</v>
      </c>
    </row>
    <row r="13" spans="1:11" x14ac:dyDescent="0.35">
      <c r="A13" s="14">
        <v>3</v>
      </c>
      <c r="B13" s="5" t="s">
        <v>131</v>
      </c>
      <c r="C13" s="56">
        <f>'Ann 4'!C21*30/360</f>
        <v>336000000</v>
      </c>
      <c r="D13" s="56">
        <f>'Ann 4'!D21*30/360</f>
        <v>356160000</v>
      </c>
      <c r="E13" s="56">
        <f>'Ann 4'!E21*30/360</f>
        <v>377529600</v>
      </c>
      <c r="F13" s="56">
        <f>'Ann 4'!F21*30/360</f>
        <v>400181376</v>
      </c>
      <c r="G13" s="56">
        <f>'Ann 4'!G21*30/360</f>
        <v>424192258.56</v>
      </c>
      <c r="H13" s="56">
        <f>'Ann 4'!H21*30/360</f>
        <v>449643794.07360011</v>
      </c>
      <c r="I13" s="56">
        <f>'Ann 4'!I21*30/360</f>
        <v>476622421.71801603</v>
      </c>
      <c r="J13" s="56">
        <f>'Ann 4'!J21*30/360</f>
        <v>505219767.02109706</v>
      </c>
      <c r="K13" s="56">
        <f>'Ann 4'!K21*30/360</f>
        <v>535532953.04236281</v>
      </c>
    </row>
    <row r="14" spans="1:11" x14ac:dyDescent="0.35">
      <c r="A14" s="14">
        <v>4</v>
      </c>
      <c r="B14" s="5" t="s">
        <v>132</v>
      </c>
      <c r="C14" s="57">
        <f>'Cash flows'!C19</f>
        <v>274106174.75</v>
      </c>
      <c r="D14" s="57">
        <f>'Cash flows'!D19</f>
        <v>271584041.94</v>
      </c>
      <c r="E14" s="57">
        <f>'Cash flows'!E19</f>
        <v>261953724.62049955</v>
      </c>
      <c r="F14" s="57">
        <f>'Cash flows'!F19</f>
        <v>247330916.5315246</v>
      </c>
      <c r="G14" s="57">
        <f>'Cash flows'!G19</f>
        <v>318390442.88237554</v>
      </c>
      <c r="H14" s="57">
        <f>'Cash flows'!H19</f>
        <v>391720214.99801201</v>
      </c>
      <c r="I14" s="57">
        <f>'Cash flows'!I19</f>
        <v>477660313.30295527</v>
      </c>
      <c r="J14" s="57">
        <f>'Cash flows'!J19</f>
        <v>528952508.66705215</v>
      </c>
      <c r="K14" s="57">
        <f>'Cash flows'!K19</f>
        <v>617029313.45307589</v>
      </c>
    </row>
    <row r="15" spans="1:11" x14ac:dyDescent="0.35">
      <c r="A15" s="14"/>
      <c r="B15" s="5" t="s">
        <v>140</v>
      </c>
      <c r="C15" s="56">
        <f t="shared" ref="C15:K15" si="2">SUM(C11:C14)</f>
        <v>672539024.75</v>
      </c>
      <c r="D15" s="56">
        <f t="shared" si="2"/>
        <v>730760794.44000006</v>
      </c>
      <c r="E15" s="47">
        <f t="shared" si="2"/>
        <v>786286311.24549961</v>
      </c>
      <c r="F15" s="47">
        <f t="shared" si="2"/>
        <v>841262503.46277452</v>
      </c>
      <c r="G15" s="47">
        <f t="shared" si="2"/>
        <v>882725285.80393791</v>
      </c>
      <c r="H15" s="47">
        <f t="shared" si="2"/>
        <v>925233020.34194016</v>
      </c>
      <c r="I15" s="47">
        <f t="shared" si="2"/>
        <v>979185227.70745015</v>
      </c>
      <c r="J15" s="47">
        <f t="shared" si="2"/>
        <v>1043471844.2676864</v>
      </c>
      <c r="K15" s="47">
        <f t="shared" si="2"/>
        <v>1160802104.6044722</v>
      </c>
    </row>
    <row r="16" spans="1:11" x14ac:dyDescent="0.35">
      <c r="A16" s="14"/>
      <c r="B16" s="5"/>
      <c r="C16" s="56"/>
      <c r="D16" s="56"/>
      <c r="E16" s="47"/>
      <c r="F16" s="47"/>
      <c r="G16" s="47"/>
      <c r="H16" s="47"/>
      <c r="I16" s="47"/>
      <c r="J16" s="47"/>
      <c r="K16" s="47"/>
    </row>
    <row r="17" spans="1:13" x14ac:dyDescent="0.35">
      <c r="A17" s="14" t="s">
        <v>160</v>
      </c>
      <c r="B17" s="48" t="s">
        <v>133</v>
      </c>
      <c r="C17" s="9"/>
      <c r="D17" s="9"/>
      <c r="E17" s="6"/>
      <c r="F17" s="6"/>
      <c r="G17" s="6"/>
      <c r="H17" s="6"/>
      <c r="I17" s="6"/>
      <c r="J17" s="6"/>
      <c r="K17" s="6"/>
    </row>
    <row r="18" spans="1:13" x14ac:dyDescent="0.35">
      <c r="A18" s="14">
        <v>1</v>
      </c>
      <c r="B18" s="5" t="s">
        <v>134</v>
      </c>
      <c r="C18" s="57">
        <f>'Ann 2'!C4*100000</f>
        <v>3509899.9999999995</v>
      </c>
      <c r="D18" s="57">
        <f>C21</f>
        <v>25714524.75</v>
      </c>
      <c r="E18" s="18">
        <f t="shared" ref="E18:K18" si="3">D21</f>
        <v>43193494.439999998</v>
      </c>
      <c r="F18" s="18">
        <f t="shared" si="3"/>
        <v>57976211.245499969</v>
      </c>
      <c r="G18" s="18">
        <f t="shared" si="3"/>
        <v>72209603.462774962</v>
      </c>
      <c r="H18" s="18">
        <f t="shared" si="3"/>
        <v>72929585.803938717</v>
      </c>
      <c r="I18" s="18">
        <f t="shared" si="3"/>
        <v>78017020.34194006</v>
      </c>
      <c r="J18" s="18">
        <f t="shared" si="3"/>
        <v>87905227.70745039</v>
      </c>
      <c r="K18" s="18">
        <f t="shared" si="3"/>
        <v>152191844.26768661</v>
      </c>
    </row>
    <row r="19" spans="1:13" x14ac:dyDescent="0.35">
      <c r="A19" s="14"/>
      <c r="B19" s="5" t="s">
        <v>135</v>
      </c>
      <c r="C19" s="57">
        <f>'Ann 4'!C37</f>
        <v>22204624.75</v>
      </c>
      <c r="D19" s="57">
        <f>'Ann 4'!D37</f>
        <v>17478969.689999998</v>
      </c>
      <c r="E19" s="18">
        <f>'Ann 4'!E37</f>
        <v>14782716.805499971</v>
      </c>
      <c r="F19" s="18">
        <f>'Ann 4'!F37</f>
        <v>14233392.217275001</v>
      </c>
      <c r="G19" s="18">
        <f>'Ann 4'!G37</f>
        <v>719982.34116375912</v>
      </c>
      <c r="H19" s="18">
        <f>'Ann 4'!H37</f>
        <v>5087434.5380013399</v>
      </c>
      <c r="I19" s="18">
        <f>'Ann 4'!I37</f>
        <v>9888207.3655103296</v>
      </c>
      <c r="J19" s="18">
        <f>'Ann 4'!J37</f>
        <v>64286616.560236216</v>
      </c>
      <c r="K19" s="18">
        <f>'Ann 4'!K37</f>
        <v>117330260.33678609</v>
      </c>
    </row>
    <row r="20" spans="1:13" x14ac:dyDescent="0.35">
      <c r="A20" s="14"/>
      <c r="B20" s="5" t="s">
        <v>136</v>
      </c>
      <c r="C20" s="57">
        <v>0</v>
      </c>
      <c r="D20" s="57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spans="1:13" x14ac:dyDescent="0.35">
      <c r="A21" s="14"/>
      <c r="B21" s="5" t="s">
        <v>137</v>
      </c>
      <c r="C21" s="57">
        <f>C18+C19</f>
        <v>25714524.75</v>
      </c>
      <c r="D21" s="57">
        <f t="shared" ref="D21:K21" si="4">D18+D19</f>
        <v>43193494.439999998</v>
      </c>
      <c r="E21" s="18">
        <f t="shared" si="4"/>
        <v>57976211.245499969</v>
      </c>
      <c r="F21" s="18">
        <f t="shared" si="4"/>
        <v>72209603.462774962</v>
      </c>
      <c r="G21" s="18">
        <f t="shared" si="4"/>
        <v>72929585.803938717</v>
      </c>
      <c r="H21" s="18">
        <f t="shared" si="4"/>
        <v>78017020.34194006</v>
      </c>
      <c r="I21" s="18">
        <f t="shared" si="4"/>
        <v>87905227.70745039</v>
      </c>
      <c r="J21" s="18">
        <f t="shared" si="4"/>
        <v>152191844.26768661</v>
      </c>
      <c r="K21" s="18">
        <f t="shared" si="4"/>
        <v>269522104.6044727</v>
      </c>
    </row>
    <row r="22" spans="1:13" x14ac:dyDescent="0.35">
      <c r="A22" s="14">
        <v>2</v>
      </c>
      <c r="B22" s="5" t="s">
        <v>138</v>
      </c>
      <c r="C22" s="57">
        <f>'Ann 13'!C14*100000</f>
        <v>19928500.000000004</v>
      </c>
      <c r="D22" s="57">
        <f>'Ann 13'!C18*100000</f>
        <v>16607300.000000004</v>
      </c>
      <c r="E22" s="57">
        <f>'Ann 13'!C22*100000</f>
        <v>13286100.000000006</v>
      </c>
      <c r="F22" s="57">
        <f>'Ann 13'!C26*100000</f>
        <v>9964900.0000000056</v>
      </c>
      <c r="G22" s="18">
        <f>('Ann 13'!C29-'Ann 13'!D29)*100000</f>
        <v>6643700.0000000065</v>
      </c>
      <c r="H22" s="18">
        <f>('Ann 13'!C33-'Ann 13'!D33)*100000</f>
        <v>0</v>
      </c>
      <c r="I22" s="18">
        <v>0</v>
      </c>
      <c r="J22" s="18">
        <v>0</v>
      </c>
      <c r="K22" s="18">
        <v>0</v>
      </c>
    </row>
    <row r="23" spans="1:13" x14ac:dyDescent="0.35">
      <c r="A23" s="14">
        <v>3</v>
      </c>
      <c r="B23" s="59" t="s">
        <v>174</v>
      </c>
      <c r="C23" s="57">
        <f>'Ann 2'!$C$7*100000</f>
        <v>10000000</v>
      </c>
      <c r="D23" s="57">
        <f>'Ann 2'!$C$7*100000</f>
        <v>10000000</v>
      </c>
      <c r="E23" s="57">
        <f>'Ann 2'!$C$7*100000</f>
        <v>10000000</v>
      </c>
      <c r="F23" s="57">
        <f>'Ann 2'!$C$7*100000</f>
        <v>10000000</v>
      </c>
      <c r="G23" s="57">
        <f>'Ann 2'!$C$7*100000</f>
        <v>10000000</v>
      </c>
      <c r="H23" s="57">
        <f>'Ann 2'!$C$7*100000</f>
        <v>10000000</v>
      </c>
      <c r="I23" s="57">
        <f>'Ann 2'!$C$7*100000</f>
        <v>10000000</v>
      </c>
      <c r="J23" s="57">
        <f>'Ann 2'!$C$7*100000</f>
        <v>10000000</v>
      </c>
      <c r="K23" s="57">
        <f>'Ann 2'!$C$7*100000</f>
        <v>10000000</v>
      </c>
    </row>
    <row r="24" spans="1:13" x14ac:dyDescent="0.35">
      <c r="A24" s="14">
        <v>4</v>
      </c>
      <c r="B24" s="59" t="s">
        <v>169</v>
      </c>
      <c r="C24" s="57">
        <f>'Ann 4'!C7*60/360</f>
        <v>616896000</v>
      </c>
      <c r="D24" s="57">
        <f>'Ann 4'!D7*60/360</f>
        <v>660960000</v>
      </c>
      <c r="E24" s="57">
        <f>'Ann 4'!E7*60/360</f>
        <v>705024000</v>
      </c>
      <c r="F24" s="57">
        <f>'Ann 4'!F7*60/360</f>
        <v>749088000</v>
      </c>
      <c r="G24" s="57">
        <f>'Ann 4'!G7*60/360</f>
        <v>793152000</v>
      </c>
      <c r="H24" s="57">
        <f>'Ann 4'!H7*60/360</f>
        <v>837216000</v>
      </c>
      <c r="I24" s="57">
        <f>'Ann 4'!I7*60/360</f>
        <v>881280000</v>
      </c>
      <c r="J24" s="57">
        <f>'Ann 4'!J7*60/360</f>
        <v>881280000</v>
      </c>
      <c r="K24" s="57">
        <f>'Ann 4'!K7*60/360</f>
        <v>881280000</v>
      </c>
    </row>
    <row r="25" spans="1:13" x14ac:dyDescent="0.35">
      <c r="A25" s="14"/>
      <c r="B25" s="5" t="s">
        <v>139</v>
      </c>
      <c r="C25" s="56">
        <f t="shared" ref="C25:K25" si="5">SUM(C21:C24)</f>
        <v>672539024.75</v>
      </c>
      <c r="D25" s="56">
        <f t="shared" si="5"/>
        <v>730760794.44000006</v>
      </c>
      <c r="E25" s="56">
        <f t="shared" si="5"/>
        <v>786286311.24549997</v>
      </c>
      <c r="F25" s="56">
        <f t="shared" si="5"/>
        <v>841262503.46277499</v>
      </c>
      <c r="G25" s="56">
        <f t="shared" si="5"/>
        <v>882725285.80393875</v>
      </c>
      <c r="H25" s="56">
        <f t="shared" si="5"/>
        <v>925233020.34194005</v>
      </c>
      <c r="I25" s="56">
        <f t="shared" si="5"/>
        <v>979185227.70745039</v>
      </c>
      <c r="J25" s="56">
        <f t="shared" si="5"/>
        <v>1043471844.2676866</v>
      </c>
      <c r="K25" s="56">
        <f t="shared" si="5"/>
        <v>1160802104.6044726</v>
      </c>
    </row>
    <row r="26" spans="1:13" x14ac:dyDescent="0.35">
      <c r="A26" s="14"/>
      <c r="B26" s="5"/>
      <c r="C26" s="56"/>
      <c r="D26" s="56"/>
      <c r="E26" s="56"/>
      <c r="F26" s="56"/>
      <c r="G26" s="56"/>
      <c r="H26" s="56"/>
      <c r="I26" s="56"/>
      <c r="J26" s="56"/>
      <c r="K26" s="56"/>
      <c r="L26" s="67"/>
      <c r="M26" s="5"/>
    </row>
    <row r="27" spans="1:13" x14ac:dyDescent="0.35">
      <c r="A27" s="60"/>
      <c r="B27" s="61" t="s">
        <v>141</v>
      </c>
      <c r="C27" s="62"/>
      <c r="D27" s="62"/>
      <c r="E27" s="63"/>
      <c r="F27" s="63"/>
      <c r="G27" s="63"/>
      <c r="H27" s="63"/>
      <c r="I27" s="63"/>
      <c r="J27" s="63"/>
      <c r="K27" s="63"/>
    </row>
    <row r="28" spans="1:13" x14ac:dyDescent="0.35">
      <c r="A28" s="14"/>
      <c r="B28" s="5" t="s">
        <v>142</v>
      </c>
      <c r="C28" s="56">
        <f t="shared" ref="C28:K28" si="6">SUM(C13:C14)</f>
        <v>610106174.75</v>
      </c>
      <c r="D28" s="56">
        <f t="shared" si="6"/>
        <v>627744041.94000006</v>
      </c>
      <c r="E28" s="47">
        <f t="shared" si="6"/>
        <v>639483324.62049961</v>
      </c>
      <c r="F28" s="47">
        <f t="shared" si="6"/>
        <v>647512292.53152466</v>
      </c>
      <c r="G28" s="47">
        <f t="shared" si="6"/>
        <v>742582701.44237554</v>
      </c>
      <c r="H28" s="47">
        <f t="shared" si="6"/>
        <v>841364009.07161212</v>
      </c>
      <c r="I28" s="47">
        <f t="shared" si="6"/>
        <v>954282735.0209713</v>
      </c>
      <c r="J28" s="47">
        <f t="shared" si="6"/>
        <v>1034172275.6881492</v>
      </c>
      <c r="K28" s="47">
        <f t="shared" si="6"/>
        <v>1152562266.4954386</v>
      </c>
    </row>
    <row r="29" spans="1:13" x14ac:dyDescent="0.35">
      <c r="A29" s="14"/>
      <c r="B29" s="5" t="s">
        <v>143</v>
      </c>
      <c r="C29" s="56">
        <f>C24</f>
        <v>616896000</v>
      </c>
      <c r="D29" s="56">
        <f t="shared" ref="D29:K29" si="7">D24</f>
        <v>660960000</v>
      </c>
      <c r="E29" s="56">
        <f t="shared" si="7"/>
        <v>705024000</v>
      </c>
      <c r="F29" s="56">
        <f t="shared" si="7"/>
        <v>749088000</v>
      </c>
      <c r="G29" s="56">
        <f t="shared" si="7"/>
        <v>793152000</v>
      </c>
      <c r="H29" s="56">
        <f t="shared" si="7"/>
        <v>837216000</v>
      </c>
      <c r="I29" s="56">
        <f t="shared" si="7"/>
        <v>881280000</v>
      </c>
      <c r="J29" s="56">
        <f t="shared" si="7"/>
        <v>881280000</v>
      </c>
      <c r="K29" s="56">
        <f t="shared" si="7"/>
        <v>881280000</v>
      </c>
    </row>
    <row r="30" spans="1:13" x14ac:dyDescent="0.35">
      <c r="A30" s="14"/>
      <c r="B30" s="5" t="s">
        <v>148</v>
      </c>
      <c r="C30" s="9">
        <f>C28/C29</f>
        <v>0.98899356577121589</v>
      </c>
      <c r="D30" s="9">
        <f>D28/D29</f>
        <v>0.94974588770878732</v>
      </c>
      <c r="E30" s="6">
        <f t="shared" ref="E30:K30" si="8">E28/E29</f>
        <v>0.90703766768294358</v>
      </c>
      <c r="F30" s="6">
        <f t="shared" si="8"/>
        <v>0.86440083479047147</v>
      </c>
      <c r="G30" s="6">
        <f t="shared" si="8"/>
        <v>0.93624261357517291</v>
      </c>
      <c r="H30" s="6">
        <f t="shared" si="8"/>
        <v>1.0049545267548783</v>
      </c>
      <c r="I30" s="6">
        <f t="shared" si="8"/>
        <v>1.0828371630139926</v>
      </c>
      <c r="J30" s="6">
        <f t="shared" si="8"/>
        <v>1.17348887491847</v>
      </c>
      <c r="K30" s="6">
        <f t="shared" si="8"/>
        <v>1.3078275536667558</v>
      </c>
    </row>
    <row r="31" spans="1:13" x14ac:dyDescent="0.35">
      <c r="A31" s="14"/>
      <c r="B31" s="59" t="s">
        <v>162</v>
      </c>
      <c r="C31" s="9"/>
      <c r="D31" s="9"/>
      <c r="E31" s="6"/>
      <c r="F31" s="6">
        <f>AVERAGE(C30:K30)</f>
        <v>1.0239476319869654</v>
      </c>
      <c r="G31" s="6"/>
      <c r="H31" s="6"/>
      <c r="I31" s="6"/>
      <c r="J31" s="6"/>
      <c r="K31" s="6"/>
    </row>
    <row r="32" spans="1:13" x14ac:dyDescent="0.35">
      <c r="A32" s="14"/>
      <c r="B32" s="5"/>
      <c r="C32" s="9"/>
      <c r="D32" s="9"/>
      <c r="E32" s="6"/>
      <c r="F32" s="6"/>
      <c r="G32" s="6"/>
      <c r="H32" s="6"/>
      <c r="I32" s="6"/>
      <c r="J32" s="6"/>
      <c r="K32" s="6"/>
    </row>
    <row r="33" spans="1:11" x14ac:dyDescent="0.35">
      <c r="A33" s="60"/>
      <c r="B33" s="61" t="s">
        <v>145</v>
      </c>
      <c r="C33" s="62"/>
      <c r="D33" s="62"/>
      <c r="E33" s="63"/>
      <c r="F33" s="63"/>
      <c r="G33" s="63"/>
      <c r="H33" s="63"/>
      <c r="I33" s="63"/>
      <c r="J33" s="63"/>
      <c r="K33" s="63"/>
    </row>
    <row r="34" spans="1:11" x14ac:dyDescent="0.35">
      <c r="A34" s="14"/>
      <c r="B34" s="5" t="s">
        <v>146</v>
      </c>
      <c r="C34" s="56">
        <f>C22+C23</f>
        <v>29928500.000000004</v>
      </c>
      <c r="D34" s="56">
        <f t="shared" ref="D34:K34" si="9">D22+D23</f>
        <v>26607300.000000004</v>
      </c>
      <c r="E34" s="56">
        <f t="shared" si="9"/>
        <v>23286100.000000007</v>
      </c>
      <c r="F34" s="56">
        <f t="shared" si="9"/>
        <v>19964900.000000007</v>
      </c>
      <c r="G34" s="56">
        <f t="shared" si="9"/>
        <v>16643700.000000007</v>
      </c>
      <c r="H34" s="56">
        <f t="shared" si="9"/>
        <v>10000000</v>
      </c>
      <c r="I34" s="56">
        <f t="shared" si="9"/>
        <v>10000000</v>
      </c>
      <c r="J34" s="56">
        <f t="shared" si="9"/>
        <v>10000000</v>
      </c>
      <c r="K34" s="56">
        <f t="shared" si="9"/>
        <v>10000000</v>
      </c>
    </row>
    <row r="35" spans="1:11" x14ac:dyDescent="0.35">
      <c r="A35" s="14"/>
      <c r="B35" s="5" t="s">
        <v>147</v>
      </c>
      <c r="C35" s="56">
        <f t="shared" ref="C35:K35" si="10">C21</f>
        <v>25714524.75</v>
      </c>
      <c r="D35" s="56">
        <f t="shared" si="10"/>
        <v>43193494.439999998</v>
      </c>
      <c r="E35" s="47">
        <f t="shared" si="10"/>
        <v>57976211.245499969</v>
      </c>
      <c r="F35" s="47">
        <f t="shared" si="10"/>
        <v>72209603.462774962</v>
      </c>
      <c r="G35" s="47">
        <f t="shared" si="10"/>
        <v>72929585.803938717</v>
      </c>
      <c r="H35" s="47">
        <f t="shared" si="10"/>
        <v>78017020.34194006</v>
      </c>
      <c r="I35" s="47">
        <f t="shared" si="10"/>
        <v>87905227.70745039</v>
      </c>
      <c r="J35" s="47">
        <f t="shared" si="10"/>
        <v>152191844.26768661</v>
      </c>
      <c r="K35" s="47">
        <f t="shared" si="10"/>
        <v>269522104.6044727</v>
      </c>
    </row>
    <row r="36" spans="1:11" x14ac:dyDescent="0.35">
      <c r="A36" s="14"/>
      <c r="B36" s="5" t="s">
        <v>148</v>
      </c>
      <c r="C36" s="9">
        <f>C34/C35</f>
        <v>1.1638752919203768</v>
      </c>
      <c r="D36" s="9">
        <f t="shared" ref="D36:K36" si="11">D34/D35</f>
        <v>0.61600248706342009</v>
      </c>
      <c r="E36" s="6">
        <f t="shared" si="11"/>
        <v>0.40164921956343674</v>
      </c>
      <c r="F36" s="6">
        <f t="shared" si="11"/>
        <v>0.27648538480469825</v>
      </c>
      <c r="G36" s="6">
        <f t="shared" si="11"/>
        <v>0.22821602257202356</v>
      </c>
      <c r="H36" s="6">
        <f t="shared" si="11"/>
        <v>0.12817715872986554</v>
      </c>
      <c r="I36" s="6">
        <f t="shared" si="11"/>
        <v>0.11375887715438399</v>
      </c>
      <c r="J36" s="6">
        <f t="shared" si="11"/>
        <v>6.5706543265296388E-2</v>
      </c>
      <c r="K36" s="6">
        <f t="shared" si="11"/>
        <v>3.7102708197812327E-2</v>
      </c>
    </row>
    <row r="37" spans="1:11" x14ac:dyDescent="0.35">
      <c r="A37" s="14"/>
      <c r="B37" s="59" t="s">
        <v>162</v>
      </c>
      <c r="C37" s="9"/>
      <c r="D37" s="9"/>
      <c r="E37" s="6"/>
      <c r="F37" s="6">
        <f>AVERAGE(C36:K36)</f>
        <v>0.3367748548079238</v>
      </c>
      <c r="G37" s="6"/>
      <c r="H37" s="6"/>
      <c r="I37" s="47"/>
      <c r="J37" s="47"/>
      <c r="K37" s="47"/>
    </row>
    <row r="38" spans="1:11" x14ac:dyDescent="0.35">
      <c r="A38" s="14"/>
      <c r="B38" s="5"/>
      <c r="C38" s="9"/>
      <c r="D38" s="9"/>
      <c r="E38" s="6"/>
      <c r="F38" s="6"/>
      <c r="G38" s="6"/>
      <c r="H38" s="6"/>
      <c r="I38" s="47"/>
      <c r="J38" s="47"/>
      <c r="K38" s="47"/>
    </row>
    <row r="39" spans="1:11" x14ac:dyDescent="0.35">
      <c r="A39" s="60"/>
      <c r="B39" s="61" t="s">
        <v>163</v>
      </c>
      <c r="C39" s="62"/>
      <c r="D39" s="62"/>
      <c r="E39" s="63"/>
      <c r="F39" s="63"/>
      <c r="G39" s="63"/>
      <c r="H39" s="63"/>
      <c r="I39" s="64"/>
      <c r="J39" s="64"/>
      <c r="K39" s="64"/>
    </row>
    <row r="40" spans="1:11" x14ac:dyDescent="0.35">
      <c r="A40" s="14"/>
      <c r="B40" s="59" t="s">
        <v>164</v>
      </c>
      <c r="C40" s="56">
        <f t="shared" ref="C40:K40" si="12">C11</f>
        <v>22112850</v>
      </c>
      <c r="D40" s="56">
        <f t="shared" si="12"/>
        <v>19496752.5</v>
      </c>
      <c r="E40" s="56">
        <f t="shared" si="12"/>
        <v>17202986.625</v>
      </c>
      <c r="F40" s="56">
        <f t="shared" si="12"/>
        <v>15190210.93125</v>
      </c>
      <c r="G40" s="56">
        <f t="shared" si="12"/>
        <v>13422584.3615625</v>
      </c>
      <c r="H40" s="56">
        <f t="shared" si="12"/>
        <v>11869011.270328125</v>
      </c>
      <c r="I40" s="56">
        <f t="shared" si="12"/>
        <v>10502492.686478905</v>
      </c>
      <c r="J40" s="56">
        <f t="shared" si="12"/>
        <v>9299568.5795370694</v>
      </c>
      <c r="K40" s="56">
        <f t="shared" si="12"/>
        <v>8239838.1090335082</v>
      </c>
    </row>
    <row r="41" spans="1:11" x14ac:dyDescent="0.35">
      <c r="A41" s="14"/>
      <c r="B41" s="59" t="s">
        <v>146</v>
      </c>
      <c r="C41" s="56">
        <f t="shared" ref="C41:K41" si="13">C22+C23</f>
        <v>29928500.000000004</v>
      </c>
      <c r="D41" s="56">
        <f t="shared" si="13"/>
        <v>26607300.000000004</v>
      </c>
      <c r="E41" s="56">
        <f t="shared" si="13"/>
        <v>23286100.000000007</v>
      </c>
      <c r="F41" s="56">
        <f t="shared" si="13"/>
        <v>19964900.000000007</v>
      </c>
      <c r="G41" s="56">
        <f t="shared" si="13"/>
        <v>16643700.000000007</v>
      </c>
      <c r="H41" s="56">
        <f t="shared" si="13"/>
        <v>10000000</v>
      </c>
      <c r="I41" s="56">
        <f t="shared" si="13"/>
        <v>10000000</v>
      </c>
      <c r="J41" s="56">
        <f t="shared" si="13"/>
        <v>10000000</v>
      </c>
      <c r="K41" s="56">
        <f t="shared" si="13"/>
        <v>10000000</v>
      </c>
    </row>
    <row r="42" spans="1:11" x14ac:dyDescent="0.35">
      <c r="A42" s="14"/>
      <c r="B42" s="59" t="s">
        <v>157</v>
      </c>
      <c r="C42" s="9">
        <f>C40/C41</f>
        <v>0.73885593999031018</v>
      </c>
      <c r="D42" s="9">
        <f t="shared" ref="D42:K42" si="14">D40/D41</f>
        <v>0.73275952464173355</v>
      </c>
      <c r="E42" s="9">
        <f t="shared" si="14"/>
        <v>0.73876632948411258</v>
      </c>
      <c r="F42" s="9">
        <f t="shared" si="14"/>
        <v>0.76084583099589753</v>
      </c>
      <c r="G42" s="9">
        <f t="shared" si="14"/>
        <v>0.80646637235485463</v>
      </c>
      <c r="H42" s="9">
        <f t="shared" si="14"/>
        <v>1.1869011270328125</v>
      </c>
      <c r="I42" s="9">
        <f t="shared" si="14"/>
        <v>1.0502492686478906</v>
      </c>
      <c r="J42" s="9">
        <f t="shared" si="14"/>
        <v>0.92995685795370697</v>
      </c>
      <c r="K42" s="9">
        <f t="shared" si="14"/>
        <v>0.82398381090335082</v>
      </c>
    </row>
    <row r="43" spans="1:11" x14ac:dyDescent="0.35">
      <c r="A43" s="14"/>
      <c r="B43" s="59"/>
      <c r="C43" s="9"/>
      <c r="D43" s="9"/>
      <c r="E43" s="6"/>
      <c r="F43" s="6">
        <f>AVERAGE(C42:K42)</f>
        <v>0.863198340222741</v>
      </c>
      <c r="G43" s="6"/>
      <c r="H43" s="6"/>
      <c r="I43" s="6"/>
      <c r="J43" s="6"/>
      <c r="K43" s="6"/>
    </row>
    <row r="44" spans="1:11" x14ac:dyDescent="0.35">
      <c r="A44" s="14"/>
      <c r="B44" s="5"/>
      <c r="C44" s="9"/>
      <c r="D44" s="9"/>
      <c r="E44" s="6"/>
      <c r="F44" s="6"/>
      <c r="G44" s="6"/>
      <c r="H44" s="6"/>
      <c r="I44" s="47"/>
      <c r="J44" s="47"/>
      <c r="K44" s="47"/>
    </row>
    <row r="45" spans="1:11" x14ac:dyDescent="0.35">
      <c r="A45" s="60"/>
      <c r="B45" s="61" t="s">
        <v>154</v>
      </c>
      <c r="C45" s="62"/>
      <c r="D45" s="62"/>
      <c r="E45" s="63"/>
      <c r="F45" s="63"/>
      <c r="G45" s="63"/>
      <c r="H45" s="63"/>
      <c r="I45" s="64"/>
      <c r="J45" s="64"/>
      <c r="K45" s="64"/>
    </row>
    <row r="46" spans="1:11" x14ac:dyDescent="0.35">
      <c r="A46" s="14"/>
      <c r="B46" s="5" t="s">
        <v>155</v>
      </c>
      <c r="C46" s="57">
        <f>'Ann 4'!C27</f>
        <v>2282891.5</v>
      </c>
      <c r="D46" s="57">
        <f>'Ann 4'!D27</f>
        <v>2120983</v>
      </c>
      <c r="E46" s="57">
        <f>'Ann 4'!E27</f>
        <v>1921711.0000000005</v>
      </c>
      <c r="F46" s="57">
        <f>'Ann 4'!F27</f>
        <v>1722439.0000000002</v>
      </c>
      <c r="G46" s="57">
        <f>'Ann 4'!G27</f>
        <v>1523167.0000000005</v>
      </c>
      <c r="H46" s="57">
        <f>'Ann 4'!H27</f>
        <v>1186856.5000000002</v>
      </c>
      <c r="I46" s="57">
        <f>'Ann 4'!I27</f>
        <v>1000000</v>
      </c>
      <c r="J46" s="57">
        <f>'Ann 4'!J27</f>
        <v>1000000</v>
      </c>
      <c r="K46" s="57">
        <f>'Ann 4'!K27</f>
        <v>1000000</v>
      </c>
    </row>
    <row r="47" spans="1:11" x14ac:dyDescent="0.35">
      <c r="A47" s="14"/>
      <c r="B47" s="5" t="s">
        <v>158</v>
      </c>
      <c r="C47" s="57">
        <f>(SUM('Ann 13'!D10:D13)*100000)+('Ann 1'!$C$25*100000)</f>
        <v>11660600</v>
      </c>
      <c r="D47" s="57">
        <f>(SUM('Ann 13'!D14:D17)*100000)+('Ann 1'!$C$25*100000)</f>
        <v>13321200</v>
      </c>
      <c r="E47" s="57">
        <f>(SUM('Ann 13'!D18:D21)*100000)+('Ann 1'!$C$25*100000)</f>
        <v>13321200</v>
      </c>
      <c r="F47" s="57">
        <f>(SUM('Ann 13'!D22:D25)*100000)+('Ann 1'!$C$25*100000)</f>
        <v>13321200</v>
      </c>
      <c r="G47" s="57">
        <f>(SUM('Ann 13'!D26:D29)*100000)+('Ann 1'!$C$25*100000)</f>
        <v>13321200</v>
      </c>
      <c r="H47" s="57">
        <f>(SUM('Ann 13'!D30:D33)*100000)+('Ann 1'!$C$25*100000)</f>
        <v>11378850</v>
      </c>
      <c r="I47" s="57">
        <f>(SUM('Ann 13'!D34:D37)*100000)+('Ann 1'!$C$25*100000)</f>
        <v>10000000</v>
      </c>
      <c r="J47" s="57">
        <f>(SUM('Ann 13'!D38:D39)*100000)+('Ann 1'!$C$25*100000)</f>
        <v>10000000</v>
      </c>
      <c r="K47" s="57">
        <f>(SUM('Ann 13'!D40:D43)*100000)+('Ann 1'!$C$25*100000)</f>
        <v>10000000</v>
      </c>
    </row>
    <row r="48" spans="1:11" x14ac:dyDescent="0.35">
      <c r="A48" s="14"/>
      <c r="B48" s="5" t="s">
        <v>8</v>
      </c>
      <c r="C48" s="57">
        <f>SUM(C46:C47)</f>
        <v>13943491.5</v>
      </c>
      <c r="D48" s="57">
        <f t="shared" ref="D48:K48" si="15">SUM(D46:D47)</f>
        <v>15442183</v>
      </c>
      <c r="E48" s="18">
        <f t="shared" si="15"/>
        <v>15242911</v>
      </c>
      <c r="F48" s="18">
        <f t="shared" si="15"/>
        <v>15043639</v>
      </c>
      <c r="G48" s="18">
        <f t="shared" si="15"/>
        <v>14844367</v>
      </c>
      <c r="H48" s="18">
        <f t="shared" si="15"/>
        <v>12565706.5</v>
      </c>
      <c r="I48" s="18">
        <f t="shared" si="15"/>
        <v>11000000</v>
      </c>
      <c r="J48" s="18">
        <f t="shared" si="15"/>
        <v>11000000</v>
      </c>
      <c r="K48" s="18">
        <f t="shared" si="15"/>
        <v>11000000</v>
      </c>
    </row>
    <row r="49" spans="1:11" x14ac:dyDescent="0.35">
      <c r="A49" s="14"/>
      <c r="B49" s="5" t="s">
        <v>156</v>
      </c>
      <c r="C49" s="57">
        <f>'Ann 4'!C22</f>
        <v>163873504</v>
      </c>
      <c r="D49" s="57">
        <f>'Ann 4'!D22</f>
        <v>129586864</v>
      </c>
      <c r="E49" s="18">
        <f>'Ann 4'!E22</f>
        <v>109806311.19999981</v>
      </c>
      <c r="F49" s="18">
        <f>'Ann 4'!F22</f>
        <v>105402301.96000004</v>
      </c>
      <c r="G49" s="18">
        <f>'Ann 4'!G22</f>
        <v>8433524.5780000687</v>
      </c>
      <c r="H49" s="18">
        <f>'Ann 4'!H22</f>
        <v>31558033.434101105</v>
      </c>
      <c r="I49" s="18">
        <f>'Ann 4'!I22</f>
        <v>72996571.194637299</v>
      </c>
      <c r="J49" s="18">
        <f>'Ann 4'!J22</f>
        <v>461393042.39434338</v>
      </c>
      <c r="K49" s="18">
        <f>'Ann 4'!K22</f>
        <v>840133018.59040451</v>
      </c>
    </row>
    <row r="50" spans="1:11" x14ac:dyDescent="0.35">
      <c r="A50" s="49"/>
      <c r="B50" s="50" t="s">
        <v>157</v>
      </c>
      <c r="C50" s="11">
        <f>C49/C48</f>
        <v>11.752687911775899</v>
      </c>
      <c r="D50" s="11">
        <f t="shared" ref="D50:K50" si="16">D49/D48</f>
        <v>8.3917451308535842</v>
      </c>
      <c r="E50" s="51">
        <f t="shared" si="16"/>
        <v>7.2037625359093029</v>
      </c>
      <c r="F50" s="51">
        <f t="shared" si="16"/>
        <v>7.0064365383934062</v>
      </c>
      <c r="G50" s="51">
        <f t="shared" si="16"/>
        <v>0.56812961967324493</v>
      </c>
      <c r="H50" s="51">
        <f t="shared" si="16"/>
        <v>2.5114412336545584</v>
      </c>
      <c r="I50" s="51">
        <f t="shared" si="16"/>
        <v>6.6360519267852087</v>
      </c>
      <c r="J50" s="51">
        <f t="shared" si="16"/>
        <v>41.944822035849398</v>
      </c>
      <c r="K50" s="51">
        <f t="shared" si="16"/>
        <v>76.375728962764043</v>
      </c>
    </row>
    <row r="51" spans="1:11" x14ac:dyDescent="0.35">
      <c r="A51" s="5"/>
      <c r="B51" s="59" t="s">
        <v>162</v>
      </c>
      <c r="C51" s="5"/>
      <c r="D51" s="5"/>
      <c r="E51" s="5"/>
      <c r="F51" s="5">
        <f>AVERAGE(D50:G50)</f>
        <v>5.7925184562073841</v>
      </c>
      <c r="G51" s="5"/>
      <c r="H51" s="5"/>
      <c r="I51" s="5"/>
      <c r="J51" s="5"/>
      <c r="K51" s="5"/>
    </row>
    <row r="52" spans="1:11" x14ac:dyDescent="0.35">
      <c r="I52" s="16"/>
      <c r="J52" s="16"/>
      <c r="K52" s="16"/>
    </row>
    <row r="54" spans="1:11" x14ac:dyDescent="0.35">
      <c r="A54" t="s">
        <v>287</v>
      </c>
    </row>
    <row r="55" spans="1:11" x14ac:dyDescent="0.35">
      <c r="A55" t="s">
        <v>144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7"/>
  <sheetViews>
    <sheetView workbookViewId="0">
      <selection activeCell="D12" sqref="D12"/>
    </sheetView>
  </sheetViews>
  <sheetFormatPr defaultRowHeight="14.5" x14ac:dyDescent="0.35"/>
  <cols>
    <col min="1" max="1" width="5.6328125" bestFit="1" customWidth="1"/>
    <col min="2" max="2" width="26.08984375" bestFit="1" customWidth="1"/>
    <col min="4" max="4" width="25" bestFit="1" customWidth="1"/>
    <col min="5" max="5" width="12.54296875" bestFit="1" customWidth="1"/>
  </cols>
  <sheetData>
    <row r="1" spans="1:5" x14ac:dyDescent="0.35">
      <c r="A1" s="22" t="s">
        <v>166</v>
      </c>
    </row>
    <row r="3" spans="1:5" x14ac:dyDescent="0.35">
      <c r="A3" s="3" t="s">
        <v>167</v>
      </c>
    </row>
    <row r="5" spans="1:5" x14ac:dyDescent="0.35">
      <c r="A5" s="34" t="s">
        <v>52</v>
      </c>
      <c r="B5" s="34" t="s">
        <v>53</v>
      </c>
      <c r="C5" s="34" t="s">
        <v>54</v>
      </c>
      <c r="D5" s="34" t="s">
        <v>55</v>
      </c>
      <c r="E5" s="34" t="s">
        <v>282</v>
      </c>
    </row>
    <row r="6" spans="1:5" x14ac:dyDescent="0.35">
      <c r="A6" s="41" t="s">
        <v>56</v>
      </c>
      <c r="B6" s="41" t="s">
        <v>211</v>
      </c>
      <c r="C6" s="41">
        <v>4</v>
      </c>
      <c r="D6" s="30">
        <v>18000</v>
      </c>
      <c r="E6" s="30">
        <f>D6*C6*12</f>
        <v>864000</v>
      </c>
    </row>
    <row r="7" spans="1:5" x14ac:dyDescent="0.35">
      <c r="A7" s="12" t="s">
        <v>57</v>
      </c>
      <c r="B7" s="12" t="s">
        <v>60</v>
      </c>
      <c r="C7" s="12">
        <v>1</v>
      </c>
      <c r="D7" s="30">
        <v>25000</v>
      </c>
      <c r="E7" s="30">
        <f>D7*C7*12</f>
        <v>300000</v>
      </c>
    </row>
    <row r="8" spans="1:5" x14ac:dyDescent="0.35">
      <c r="A8" s="12" t="s">
        <v>61</v>
      </c>
      <c r="B8" s="12" t="s">
        <v>281</v>
      </c>
      <c r="C8" s="12">
        <v>3</v>
      </c>
      <c r="D8" s="30">
        <v>12000</v>
      </c>
      <c r="E8" s="30">
        <f>D8*C8*12</f>
        <v>432000</v>
      </c>
    </row>
    <row r="9" spans="1:5" x14ac:dyDescent="0.35">
      <c r="A9" s="12" t="s">
        <v>280</v>
      </c>
      <c r="B9" s="12" t="s">
        <v>168</v>
      </c>
      <c r="C9" s="12">
        <v>1</v>
      </c>
      <c r="D9" s="30">
        <v>9400</v>
      </c>
      <c r="E9" s="30">
        <f>D9*C9*12</f>
        <v>112800</v>
      </c>
    </row>
    <row r="10" spans="1:5" x14ac:dyDescent="0.35">
      <c r="A10" s="106" t="s">
        <v>8</v>
      </c>
      <c r="B10" s="106"/>
      <c r="C10" s="106"/>
      <c r="D10" s="106"/>
      <c r="E10" s="40">
        <f>SUM(E6:E9)</f>
        <v>1708800</v>
      </c>
    </row>
    <row r="11" spans="1:5" x14ac:dyDescent="0.35">
      <c r="A11" s="43"/>
      <c r="B11" s="45"/>
      <c r="C11" s="45"/>
      <c r="D11" s="45"/>
      <c r="E11" s="46"/>
    </row>
    <row r="12" spans="1:5" x14ac:dyDescent="0.35">
      <c r="A12" s="49" t="s">
        <v>283</v>
      </c>
      <c r="B12" s="50"/>
      <c r="C12" s="50"/>
      <c r="D12" s="50"/>
      <c r="E12" s="52">
        <f>E10*15%</f>
        <v>256320</v>
      </c>
    </row>
    <row r="13" spans="1:5" x14ac:dyDescent="0.35">
      <c r="A13" s="13" t="s">
        <v>8</v>
      </c>
      <c r="B13" s="4"/>
      <c r="C13" s="4"/>
      <c r="D13" s="4"/>
      <c r="E13" s="53">
        <f>SUM(E10:E12)</f>
        <v>1965120</v>
      </c>
    </row>
    <row r="15" spans="1:5" x14ac:dyDescent="0.35">
      <c r="A15" t="s">
        <v>58</v>
      </c>
      <c r="E15" s="16">
        <f>E13</f>
        <v>1965120</v>
      </c>
    </row>
    <row r="16" spans="1:5" x14ac:dyDescent="0.35">
      <c r="A16" t="s">
        <v>59</v>
      </c>
      <c r="E16" s="25">
        <v>0.05</v>
      </c>
    </row>
    <row r="17" spans="1:5" x14ac:dyDescent="0.35">
      <c r="A17" t="s">
        <v>170</v>
      </c>
      <c r="E17">
        <f>SUM(C6:C9)</f>
        <v>9</v>
      </c>
    </row>
  </sheetData>
  <mergeCells count="1">
    <mergeCell ref="A10:D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sheetPr>
    <pageSetUpPr fitToPage="1"/>
  </sheetPr>
  <dimension ref="A1:F22"/>
  <sheetViews>
    <sheetView workbookViewId="0">
      <selection activeCell="B22" sqref="B22"/>
    </sheetView>
  </sheetViews>
  <sheetFormatPr defaultRowHeight="14.5" x14ac:dyDescent="0.35"/>
  <cols>
    <col min="1" max="1" width="6.36328125" bestFit="1" customWidth="1"/>
    <col min="2" max="2" width="18.81640625" bestFit="1" customWidth="1"/>
    <col min="3" max="3" width="19.453125" bestFit="1" customWidth="1"/>
    <col min="4" max="4" width="18.08984375" bestFit="1" customWidth="1"/>
    <col min="5" max="5" width="14.453125" bestFit="1" customWidth="1"/>
    <col min="6" max="6" width="26.453125" bestFit="1" customWidth="1"/>
  </cols>
  <sheetData>
    <row r="1" spans="1:6" x14ac:dyDescent="0.35">
      <c r="A1" s="22" t="s">
        <v>63</v>
      </c>
    </row>
    <row r="3" spans="1:6" x14ac:dyDescent="0.35">
      <c r="A3" s="3" t="s">
        <v>62</v>
      </c>
    </row>
    <row r="5" spans="1:6" x14ac:dyDescent="0.35">
      <c r="A5" s="34" t="s">
        <v>24</v>
      </c>
      <c r="B5" s="34" t="s">
        <v>3</v>
      </c>
      <c r="C5" s="34" t="s">
        <v>66</v>
      </c>
      <c r="D5" s="34" t="s">
        <v>11</v>
      </c>
      <c r="E5" s="34" t="s">
        <v>67</v>
      </c>
      <c r="F5" s="34" t="s">
        <v>68</v>
      </c>
    </row>
    <row r="6" spans="1:6" x14ac:dyDescent="0.35">
      <c r="A6" s="12" t="s">
        <v>56</v>
      </c>
      <c r="B6" s="12" t="s">
        <v>13</v>
      </c>
      <c r="C6" s="30">
        <f>'Ann 1'!C12*100000</f>
        <v>15574000</v>
      </c>
      <c r="D6" s="30">
        <f>('Ann 1'!C20+'Ann 1'!C37)*100000</f>
        <v>9525000</v>
      </c>
      <c r="E6" s="30">
        <v>0</v>
      </c>
      <c r="F6" s="12">
        <f>SUM(C6:E6)/100000</f>
        <v>250.99</v>
      </c>
    </row>
    <row r="7" spans="1:6" x14ac:dyDescent="0.35">
      <c r="A7" s="12" t="s">
        <v>57</v>
      </c>
      <c r="B7" s="12" t="s">
        <v>64</v>
      </c>
      <c r="C7" s="30">
        <v>0</v>
      </c>
      <c r="D7" s="30">
        <v>0</v>
      </c>
      <c r="E7" s="30">
        <v>0</v>
      </c>
      <c r="F7" s="30">
        <f>SUM(C7:E7)/100000</f>
        <v>0</v>
      </c>
    </row>
    <row r="8" spans="1:6" x14ac:dyDescent="0.35">
      <c r="A8" s="12" t="s">
        <v>61</v>
      </c>
      <c r="B8" s="12" t="s">
        <v>65</v>
      </c>
      <c r="C8" s="30">
        <v>0</v>
      </c>
      <c r="D8" s="30">
        <v>0</v>
      </c>
      <c r="E8" s="30">
        <v>0</v>
      </c>
      <c r="F8" s="30">
        <f>SUM(C8:E8)/100000</f>
        <v>0</v>
      </c>
    </row>
    <row r="9" spans="1:6" x14ac:dyDescent="0.35">
      <c r="A9" s="12"/>
      <c r="B9" s="106" t="s">
        <v>8</v>
      </c>
      <c r="C9" s="106"/>
      <c r="D9" s="106"/>
      <c r="E9" s="106"/>
      <c r="F9" s="12">
        <f>SUM(F6:F8)</f>
        <v>250.99</v>
      </c>
    </row>
    <row r="11" spans="1:6" x14ac:dyDescent="0.35">
      <c r="A11" s="12"/>
      <c r="B11" s="12" t="s">
        <v>69</v>
      </c>
      <c r="C11" s="73">
        <v>0.1</v>
      </c>
      <c r="D11" s="73">
        <v>0.15</v>
      </c>
      <c r="E11" s="73">
        <v>0.1</v>
      </c>
      <c r="F11" s="12" t="s">
        <v>210</v>
      </c>
    </row>
    <row r="12" spans="1:6" x14ac:dyDescent="0.35">
      <c r="A12" s="81" t="s">
        <v>70</v>
      </c>
      <c r="B12" s="77">
        <v>1</v>
      </c>
      <c r="C12" s="82">
        <f>C11*C6</f>
        <v>1557400</v>
      </c>
      <c r="D12" s="82">
        <f>D11*D6</f>
        <v>1428750</v>
      </c>
      <c r="E12" s="82">
        <f>E11*E6</f>
        <v>0</v>
      </c>
      <c r="F12" s="82">
        <f>SUM(C12:E12)</f>
        <v>2986150</v>
      </c>
    </row>
    <row r="13" spans="1:6" x14ac:dyDescent="0.35">
      <c r="A13" s="81" t="s">
        <v>70</v>
      </c>
      <c r="B13" s="77">
        <v>2</v>
      </c>
      <c r="C13" s="82">
        <f>(C6-C12)*C11</f>
        <v>1401660</v>
      </c>
      <c r="D13" s="82">
        <f>(D6-D12)*D11</f>
        <v>1214437.5</v>
      </c>
      <c r="E13" s="82">
        <f>(E6-E12)*E11</f>
        <v>0</v>
      </c>
      <c r="F13" s="82">
        <f>SUM(C13:E13)</f>
        <v>2616097.5</v>
      </c>
    </row>
    <row r="14" spans="1:6" x14ac:dyDescent="0.35">
      <c r="A14" s="81" t="s">
        <v>70</v>
      </c>
      <c r="B14" s="77">
        <v>3</v>
      </c>
      <c r="C14" s="82">
        <f>(C6-C12-C13)*C11</f>
        <v>1261494</v>
      </c>
      <c r="D14" s="82">
        <f>(D6-D12-D13)*D11</f>
        <v>1032271.875</v>
      </c>
      <c r="E14" s="82">
        <f>(E6-E12-E13)*E11</f>
        <v>0</v>
      </c>
      <c r="F14" s="82">
        <f t="shared" ref="F14:F20" si="0">SUM(C14:E14)</f>
        <v>2293765.875</v>
      </c>
    </row>
    <row r="15" spans="1:6" x14ac:dyDescent="0.35">
      <c r="A15" s="81" t="s">
        <v>70</v>
      </c>
      <c r="B15" s="77">
        <v>4</v>
      </c>
      <c r="C15" s="82">
        <f>(C6-C12-C13-C14)*C11</f>
        <v>1135344.6000000001</v>
      </c>
      <c r="D15" s="82">
        <f>(D6-D12-D13-D14)*D11</f>
        <v>877431.09375</v>
      </c>
      <c r="E15" s="82">
        <f>(E6-E12-E13-E14)*E11</f>
        <v>0</v>
      </c>
      <c r="F15" s="82">
        <f t="shared" si="0"/>
        <v>2012775.6937500001</v>
      </c>
    </row>
    <row r="16" spans="1:6" x14ac:dyDescent="0.35">
      <c r="A16" s="81" t="s">
        <v>70</v>
      </c>
      <c r="B16" s="77">
        <v>5</v>
      </c>
      <c r="C16" s="82">
        <f>(C6-C12-C13-C14-C15)*C11</f>
        <v>1021810.1400000001</v>
      </c>
      <c r="D16" s="82">
        <f>(D6-D12-D13-D14-D15)*D11</f>
        <v>745816.4296875</v>
      </c>
      <c r="E16" s="82">
        <f>(E6-E12-E13-E14-E15)*E11</f>
        <v>0</v>
      </c>
      <c r="F16" s="82">
        <f t="shared" si="0"/>
        <v>1767626.5696875001</v>
      </c>
    </row>
    <row r="17" spans="1:6" x14ac:dyDescent="0.35">
      <c r="A17" s="81" t="s">
        <v>70</v>
      </c>
      <c r="B17" s="77">
        <v>6</v>
      </c>
      <c r="C17" s="82">
        <f>(C6-C12-C13-C14-C15-C16)*C11</f>
        <v>919629.12600000005</v>
      </c>
      <c r="D17" s="82">
        <f>(D6-D12-D13-D14-D15-D16)*D11</f>
        <v>633943.96523437498</v>
      </c>
      <c r="E17" s="82">
        <f>(E6-E12-E13-E14-E15-E16)*E11</f>
        <v>0</v>
      </c>
      <c r="F17" s="82">
        <f t="shared" si="0"/>
        <v>1553573.091234375</v>
      </c>
    </row>
    <row r="18" spans="1:6" x14ac:dyDescent="0.35">
      <c r="A18" s="81" t="s">
        <v>70</v>
      </c>
      <c r="B18" s="77">
        <v>7</v>
      </c>
      <c r="C18" s="82">
        <f>(C6-C12-C13-C14-C15-C16-C17)*C11</f>
        <v>827666.21340000001</v>
      </c>
      <c r="D18" s="82">
        <f>(D6-D12-D13-D14-D15-D16-D17)*D11</f>
        <v>538852.37044921867</v>
      </c>
      <c r="E18" s="82">
        <f>(E6-E12-E13-E14-E15-E16-E17)*E11</f>
        <v>0</v>
      </c>
      <c r="F18" s="82">
        <f t="shared" si="0"/>
        <v>1366518.5838492187</v>
      </c>
    </row>
    <row r="19" spans="1:6" x14ac:dyDescent="0.35">
      <c r="A19" s="81" t="s">
        <v>70</v>
      </c>
      <c r="B19" s="77">
        <v>8</v>
      </c>
      <c r="C19" s="82">
        <f>(C6-C12-C13-C14-C15-C16-C17-C18)*C11</f>
        <v>744899.59206000005</v>
      </c>
      <c r="D19" s="82">
        <f>(D6-D12-D13-D14-D15-D16-D17-D18)*D11</f>
        <v>458024.51488183596</v>
      </c>
      <c r="E19" s="82">
        <f>(E6-E12-E13-E14-E15-E16-E17-E18)*E11</f>
        <v>0</v>
      </c>
      <c r="F19" s="82">
        <f t="shared" si="0"/>
        <v>1202924.106941836</v>
      </c>
    </row>
    <row r="20" spans="1:6" x14ac:dyDescent="0.35">
      <c r="A20" s="81" t="s">
        <v>70</v>
      </c>
      <c r="B20" s="77">
        <v>9</v>
      </c>
      <c r="C20" s="82">
        <f>(C6-C12-C13-C14-C15-C16-C17-C18-C19)*C11</f>
        <v>670409.63285400008</v>
      </c>
      <c r="D20" s="82">
        <f>(D6-D12-D13-D14-D15-D16-D17-D18-D19)*D11</f>
        <v>389320.83764956059</v>
      </c>
      <c r="E20" s="82">
        <f>(E6-E12-E13-E14-E15-E16-E17-E18-E19)*E11</f>
        <v>0</v>
      </c>
      <c r="F20" s="82">
        <f t="shared" si="0"/>
        <v>1059730.4705035607</v>
      </c>
    </row>
    <row r="21" spans="1:6" x14ac:dyDescent="0.35">
      <c r="B21" s="1"/>
    </row>
    <row r="22" spans="1:6" x14ac:dyDescent="0.35">
      <c r="A22" s="29"/>
    </row>
  </sheetData>
  <mergeCells count="1">
    <mergeCell ref="B9:E9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>
      <selection activeCell="B14" sqref="B14"/>
    </sheetView>
  </sheetViews>
  <sheetFormatPr defaultRowHeight="14.5" x14ac:dyDescent="0.35"/>
  <cols>
    <col min="1" max="1" width="20.90625" customWidth="1"/>
    <col min="2" max="10" width="13.6328125" bestFit="1" customWidth="1"/>
  </cols>
  <sheetData>
    <row r="1" spans="1:10" x14ac:dyDescent="0.35">
      <c r="A1" s="22" t="s">
        <v>114</v>
      </c>
    </row>
    <row r="3" spans="1:10" x14ac:dyDescent="0.35">
      <c r="A3" s="3" t="s">
        <v>115</v>
      </c>
    </row>
    <row r="5" spans="1:10" x14ac:dyDescent="0.35">
      <c r="A5" s="105" t="s">
        <v>3</v>
      </c>
      <c r="B5" s="105" t="s">
        <v>48</v>
      </c>
      <c r="C5" s="105"/>
      <c r="D5" s="105"/>
      <c r="E5" s="105"/>
      <c r="F5" s="105"/>
      <c r="G5" s="105"/>
      <c r="H5" s="105"/>
      <c r="I5" s="105"/>
      <c r="J5" s="105"/>
    </row>
    <row r="6" spans="1:10" x14ac:dyDescent="0.35">
      <c r="A6" s="105"/>
      <c r="B6" s="34" t="s">
        <v>39</v>
      </c>
      <c r="C6" s="34" t="s">
        <v>40</v>
      </c>
      <c r="D6" s="34" t="s">
        <v>41</v>
      </c>
      <c r="E6" s="34" t="s">
        <v>42</v>
      </c>
      <c r="F6" s="34" t="s">
        <v>43</v>
      </c>
      <c r="G6" s="34" t="s">
        <v>44</v>
      </c>
      <c r="H6" s="34" t="s">
        <v>45</v>
      </c>
      <c r="I6" s="34" t="s">
        <v>46</v>
      </c>
      <c r="J6" s="34" t="s">
        <v>47</v>
      </c>
    </row>
    <row r="7" spans="1:10" x14ac:dyDescent="0.35">
      <c r="A7" s="12" t="s">
        <v>116</v>
      </c>
      <c r="B7" s="30">
        <f>'Ann 4'!C29</f>
        <v>161590612.5</v>
      </c>
      <c r="C7" s="30">
        <f>'Ann 4'!D29</f>
        <v>127465881</v>
      </c>
      <c r="D7" s="30">
        <f>'Ann 4'!E29</f>
        <v>107884600.19999981</v>
      </c>
      <c r="E7" s="30">
        <f>'Ann 4'!F29</f>
        <v>103679862.96000004</v>
      </c>
      <c r="F7" s="30">
        <f>'Ann 4'!G29</f>
        <v>6910357.5780000687</v>
      </c>
      <c r="G7" s="30">
        <f>'Ann 4'!H29</f>
        <v>30371176.934101105</v>
      </c>
      <c r="H7" s="30">
        <f>'Ann 4'!I29</f>
        <v>71996571.194637299</v>
      </c>
      <c r="I7" s="30">
        <f>'Ann 4'!J29</f>
        <v>460393042.39434338</v>
      </c>
      <c r="J7" s="30">
        <f>'Ann 4'!K29</f>
        <v>839133018.59040451</v>
      </c>
    </row>
    <row r="8" spans="1:10" x14ac:dyDescent="0.35">
      <c r="A8" s="12" t="s">
        <v>117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</row>
    <row r="9" spans="1:10" x14ac:dyDescent="0.35">
      <c r="A9" s="12" t="s">
        <v>118</v>
      </c>
      <c r="B9" s="30">
        <f>B7+B8</f>
        <v>161590612.5</v>
      </c>
      <c r="C9" s="30">
        <f t="shared" ref="C9:J9" si="0">C7+C8</f>
        <v>127465881</v>
      </c>
      <c r="D9" s="30">
        <f t="shared" si="0"/>
        <v>107884600.19999981</v>
      </c>
      <c r="E9" s="30">
        <f t="shared" si="0"/>
        <v>103679862.96000004</v>
      </c>
      <c r="F9" s="30">
        <f t="shared" si="0"/>
        <v>6910357.5780000687</v>
      </c>
      <c r="G9" s="30">
        <f t="shared" si="0"/>
        <v>30371176.934101105</v>
      </c>
      <c r="H9" s="30">
        <f t="shared" si="0"/>
        <v>71996571.194637299</v>
      </c>
      <c r="I9" s="30">
        <f t="shared" si="0"/>
        <v>460393042.39434338</v>
      </c>
      <c r="J9" s="30">
        <f t="shared" si="0"/>
        <v>839133018.59040451</v>
      </c>
    </row>
    <row r="10" spans="1:10" x14ac:dyDescent="0.35">
      <c r="A10" s="12" t="s">
        <v>119</v>
      </c>
      <c r="B10" s="30">
        <f>SUM('Ann 9'!C12:E12)</f>
        <v>2986150</v>
      </c>
      <c r="C10" s="30">
        <f>SUM('Ann 9'!C13:E13)</f>
        <v>2616097.5</v>
      </c>
      <c r="D10" s="30">
        <f>SUM('Ann 9'!C14:E14)</f>
        <v>2293765.875</v>
      </c>
      <c r="E10" s="30">
        <f>SUM('Ann 9'!C15:E15)</f>
        <v>2012775.6937500001</v>
      </c>
      <c r="F10" s="30">
        <f>SUM('Ann 9'!C16:E16)</f>
        <v>1767626.5696875001</v>
      </c>
      <c r="G10" s="30">
        <f>SUM('Ann 9'!C17:E17)</f>
        <v>1553573.091234375</v>
      </c>
      <c r="H10" s="30">
        <f>SUM('Ann 9'!C18:E18)</f>
        <v>1366518.5838492187</v>
      </c>
      <c r="I10" s="30">
        <f>SUM('Ann 9'!C19:E19)</f>
        <v>1202924.106941836</v>
      </c>
      <c r="J10" s="30">
        <f>SUM('Ann 9'!C20:E20)</f>
        <v>1059730.4705035607</v>
      </c>
    </row>
    <row r="11" spans="1:10" x14ac:dyDescent="0.35">
      <c r="A11" s="12" t="s">
        <v>118</v>
      </c>
      <c r="B11" s="30">
        <f>B9-B10</f>
        <v>158604462.5</v>
      </c>
      <c r="C11" s="30">
        <f t="shared" ref="C11:J11" si="1">C9-C10</f>
        <v>124849783.5</v>
      </c>
      <c r="D11" s="30">
        <f t="shared" si="1"/>
        <v>105590834.32499981</v>
      </c>
      <c r="E11" s="30">
        <f t="shared" si="1"/>
        <v>101667087.26625004</v>
      </c>
      <c r="F11" s="30">
        <f t="shared" si="1"/>
        <v>5142731.0083125681</v>
      </c>
      <c r="G11" s="30">
        <f t="shared" si="1"/>
        <v>28817603.84286673</v>
      </c>
      <c r="H11" s="30">
        <f t="shared" si="1"/>
        <v>70630052.610788077</v>
      </c>
      <c r="I11" s="30">
        <f t="shared" si="1"/>
        <v>459190118.28740156</v>
      </c>
      <c r="J11" s="30">
        <f t="shared" si="1"/>
        <v>838073288.11990094</v>
      </c>
    </row>
    <row r="12" spans="1:10" x14ac:dyDescent="0.35">
      <c r="A12" s="12" t="s">
        <v>120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</row>
    <row r="13" spans="1:10" x14ac:dyDescent="0.35">
      <c r="A13" s="12" t="s">
        <v>121</v>
      </c>
      <c r="B13" s="40">
        <f>B11</f>
        <v>158604462.5</v>
      </c>
      <c r="C13" s="40">
        <f t="shared" ref="C13:J13" si="2">C11</f>
        <v>124849783.5</v>
      </c>
      <c r="D13" s="40">
        <f t="shared" si="2"/>
        <v>105590834.32499981</v>
      </c>
      <c r="E13" s="40">
        <f t="shared" si="2"/>
        <v>101667087.26625004</v>
      </c>
      <c r="F13" s="40">
        <f t="shared" si="2"/>
        <v>5142731.0083125681</v>
      </c>
      <c r="G13" s="40">
        <f t="shared" si="2"/>
        <v>28817603.84286673</v>
      </c>
      <c r="H13" s="40">
        <f t="shared" si="2"/>
        <v>70630052.610788077</v>
      </c>
      <c r="I13" s="40">
        <f t="shared" si="2"/>
        <v>459190118.28740156</v>
      </c>
      <c r="J13" s="40">
        <f t="shared" si="2"/>
        <v>838073288.11990094</v>
      </c>
    </row>
    <row r="14" spans="1:10" x14ac:dyDescent="0.35">
      <c r="A14" s="12" t="s">
        <v>122</v>
      </c>
      <c r="B14" s="40">
        <f>B13*30%</f>
        <v>47581338.75</v>
      </c>
      <c r="C14" s="40">
        <f t="shared" ref="C14:J14" si="3">C13*30%</f>
        <v>37454935.049999997</v>
      </c>
      <c r="D14" s="40">
        <f t="shared" si="3"/>
        <v>31677250.29749994</v>
      </c>
      <c r="E14" s="40">
        <f t="shared" si="3"/>
        <v>30500126.179875012</v>
      </c>
      <c r="F14" s="40">
        <f t="shared" si="3"/>
        <v>1542819.3024937704</v>
      </c>
      <c r="G14" s="40">
        <f t="shared" si="3"/>
        <v>8645281.1528600194</v>
      </c>
      <c r="H14" s="40">
        <f t="shared" si="3"/>
        <v>21189015.783236422</v>
      </c>
      <c r="I14" s="40">
        <f t="shared" si="3"/>
        <v>137757035.48622045</v>
      </c>
      <c r="J14" s="40">
        <f t="shared" si="3"/>
        <v>251421986.43597028</v>
      </c>
    </row>
  </sheetData>
  <mergeCells count="2">
    <mergeCell ref="B5:J5"/>
    <mergeCell ref="A5:A6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Contents</vt:lpstr>
      <vt:lpstr>Ann 1</vt:lpstr>
      <vt:lpstr>Ann 2</vt:lpstr>
      <vt:lpstr>Ann 3</vt:lpstr>
      <vt:lpstr>Ann 4</vt:lpstr>
      <vt:lpstr>Ann 5</vt:lpstr>
      <vt:lpstr>Ann 8</vt:lpstr>
      <vt:lpstr>Ann 9</vt:lpstr>
      <vt:lpstr>Ann 10</vt:lpstr>
      <vt:lpstr>Ann 11</vt:lpstr>
      <vt:lpstr>Ann 12</vt:lpstr>
      <vt:lpstr>Ann 13</vt:lpstr>
      <vt:lpstr>Budgets</vt:lpstr>
      <vt:lpstr>Cash flows</vt:lpstr>
      <vt:lpstr>For word file</vt:lpstr>
      <vt:lpstr>Assumptions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2021-07-22T07:59:34Z</cp:lastPrinted>
  <dcterms:created xsi:type="dcterms:W3CDTF">2021-07-04T07:21:16Z</dcterms:created>
  <dcterms:modified xsi:type="dcterms:W3CDTF">2021-07-22T07:59:43Z</dcterms:modified>
</cp:coreProperties>
</file>