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Assignments\6. Ashiwini Mittal uncle's bid for work\2. Warehouse\"/>
    </mc:Choice>
  </mc:AlternateContent>
  <xr:revisionPtr revIDLastSave="0" documentId="13_ncr:1_{DA278E09-E904-4E4E-B65D-C5D3FAABD7A4}" xr6:coauthVersionLast="47" xr6:coauthVersionMax="47" xr10:uidLastSave="{00000000-0000-0000-0000-000000000000}"/>
  <bookViews>
    <workbookView xWindow="-110" yWindow="-110" windowWidth="19420" windowHeight="11020" xr2:uid="{8B0049CE-B79C-4EF0-8FA8-FBBF9BECEBD1}"/>
  </bookViews>
  <sheets>
    <sheet name="Contents" sheetId="20" r:id="rId1"/>
    <sheet name="Ann 1" sheetId="1" r:id="rId2"/>
    <sheet name="Ann 2" sheetId="2" r:id="rId3"/>
    <sheet name="Ann 3" sheetId="3" state="hidden" r:id="rId4"/>
    <sheet name="Ann 4" sheetId="4" r:id="rId5"/>
    <sheet name="Ann 5" sheetId="7" r:id="rId6"/>
    <sheet name="Ann 8" sheetId="9" r:id="rId7"/>
    <sheet name="Ann 9" sheetId="10" r:id="rId8"/>
    <sheet name="Ann 10" sheetId="13" r:id="rId9"/>
    <sheet name="Ann 11" sheetId="11" r:id="rId10"/>
    <sheet name="Ann 12" sheetId="12" state="hidden" r:id="rId11"/>
    <sheet name="Ann 13" sheetId="14" r:id="rId12"/>
    <sheet name="For word file" sheetId="19" state="hidden" r:id="rId13"/>
    <sheet name="Cash flows" sheetId="18" r:id="rId14"/>
    <sheet name="Assumptions" sheetId="21" r:id="rId15"/>
    <sheet name="Sheet1" sheetId="15" state="hidden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4" l="1"/>
  <c r="J25" i="4"/>
  <c r="K25" i="4"/>
  <c r="H25" i="4"/>
  <c r="H24" i="4"/>
  <c r="D5" i="14"/>
  <c r="D6" i="21"/>
  <c r="E5" i="21"/>
  <c r="E6" i="21" s="1"/>
  <c r="C14" i="4"/>
  <c r="D14" i="4" s="1"/>
  <c r="E14" i="4" s="1"/>
  <c r="F14" i="4" s="1"/>
  <c r="G14" i="4" s="1"/>
  <c r="H14" i="4" s="1"/>
  <c r="I14" i="4" s="1"/>
  <c r="J14" i="4" s="1"/>
  <c r="K14" i="4" s="1"/>
  <c r="D19" i="11"/>
  <c r="D33" i="4"/>
  <c r="E33" i="4" s="1"/>
  <c r="F33" i="4" s="1"/>
  <c r="G33" i="4" s="1"/>
  <c r="H33" i="4" s="1"/>
  <c r="I33" i="4" s="1"/>
  <c r="J33" i="4" s="1"/>
  <c r="K33" i="4" s="1"/>
  <c r="F15" i="10"/>
  <c r="F16" i="10"/>
  <c r="F17" i="10"/>
  <c r="F18" i="10"/>
  <c r="F19" i="10"/>
  <c r="F20" i="10"/>
  <c r="F21" i="10"/>
  <c r="F14" i="10"/>
  <c r="F13" i="10"/>
  <c r="D22" i="7"/>
  <c r="E22" i="7"/>
  <c r="F22" i="7"/>
  <c r="G22" i="7"/>
  <c r="H22" i="7"/>
  <c r="I22" i="7"/>
  <c r="J22" i="7"/>
  <c r="K22" i="7"/>
  <c r="C22" i="7"/>
  <c r="B4" i="18"/>
  <c r="D19" i="4"/>
  <c r="E19" i="4"/>
  <c r="F19" i="4"/>
  <c r="G19" i="4"/>
  <c r="H19" i="4"/>
  <c r="I19" i="4"/>
  <c r="J19" i="4"/>
  <c r="K19" i="4"/>
  <c r="C19" i="4"/>
  <c r="D13" i="14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A16" i="20"/>
  <c r="A17" i="20"/>
  <c r="A15" i="20"/>
  <c r="A14" i="20"/>
  <c r="A13" i="20"/>
  <c r="A12" i="20"/>
  <c r="A11" i="20"/>
  <c r="A10" i="20"/>
  <c r="A9" i="20"/>
  <c r="A8" i="20"/>
  <c r="A7" i="20"/>
  <c r="A6" i="20"/>
  <c r="A5" i="20"/>
  <c r="A4" i="20"/>
  <c r="D31" i="14" l="1"/>
  <c r="D34" i="14" s="1"/>
  <c r="D35" i="14" s="1"/>
  <c r="D36" i="14" s="1"/>
  <c r="G15" i="18"/>
  <c r="F5" i="21"/>
  <c r="F5" i="11"/>
  <c r="J19" i="18"/>
  <c r="I19" i="18"/>
  <c r="H19" i="18"/>
  <c r="G19" i="18"/>
  <c r="F19" i="18"/>
  <c r="E19" i="18"/>
  <c r="D19" i="18"/>
  <c r="C19" i="18"/>
  <c r="B19" i="18"/>
  <c r="D34" i="4"/>
  <c r="C34" i="4"/>
  <c r="E7" i="11"/>
  <c r="B3" i="19"/>
  <c r="I39" i="7"/>
  <c r="J39" i="7"/>
  <c r="K39" i="7"/>
  <c r="I32" i="7"/>
  <c r="J32" i="7"/>
  <c r="K32" i="7"/>
  <c r="F15" i="18"/>
  <c r="E15" i="18"/>
  <c r="D15" i="18"/>
  <c r="C15" i="18"/>
  <c r="J20" i="4"/>
  <c r="I9" i="18" s="1"/>
  <c r="K20" i="4"/>
  <c r="J9" i="18" s="1"/>
  <c r="B15" i="18"/>
  <c r="C45" i="7"/>
  <c r="C23" i="7"/>
  <c r="C6" i="18" s="1"/>
  <c r="C28" i="7" l="1"/>
  <c r="F6" i="21"/>
  <c r="G5" i="21"/>
  <c r="J44" i="7"/>
  <c r="K44" i="7"/>
  <c r="D10" i="4"/>
  <c r="E10" i="4" s="1"/>
  <c r="F10" i="4" s="1"/>
  <c r="G10" i="4" s="1"/>
  <c r="H10" i="4" s="1"/>
  <c r="I10" i="4" s="1"/>
  <c r="J10" i="4" s="1"/>
  <c r="K10" i="4" s="1"/>
  <c r="E6" i="9"/>
  <c r="E16" i="9"/>
  <c r="G6" i="21" l="1"/>
  <c r="H5" i="21"/>
  <c r="D23" i="7"/>
  <c r="C9" i="4"/>
  <c r="D9" i="4"/>
  <c r="C6" i="10"/>
  <c r="D6" i="18" l="1"/>
  <c r="D28" i="7"/>
  <c r="H6" i="21"/>
  <c r="I5" i="21"/>
  <c r="C3" i="19"/>
  <c r="C12" i="7"/>
  <c r="E23" i="7"/>
  <c r="E34" i="4"/>
  <c r="E45" i="7"/>
  <c r="F45" i="7"/>
  <c r="H45" i="7"/>
  <c r="G11" i="14"/>
  <c r="C9" i="7"/>
  <c r="E13" i="10"/>
  <c r="G45" i="7"/>
  <c r="C7" i="15"/>
  <c r="J46" i="7"/>
  <c r="K46" i="7"/>
  <c r="D13" i="10"/>
  <c r="D14" i="10" s="1"/>
  <c r="C13" i="10"/>
  <c r="C17" i="1"/>
  <c r="C13" i="1"/>
  <c r="F8" i="10"/>
  <c r="F7" i="10"/>
  <c r="F6" i="10"/>
  <c r="E8" i="9"/>
  <c r="E7" i="9"/>
  <c r="G39" i="3"/>
  <c r="G37" i="3"/>
  <c r="G18" i="3"/>
  <c r="C9" i="1"/>
  <c r="E6" i="18" l="1"/>
  <c r="E28" i="7"/>
  <c r="I6" i="21"/>
  <c r="J5" i="21"/>
  <c r="B5" i="18"/>
  <c r="B20" i="18" s="1"/>
  <c r="B21" i="18" s="1"/>
  <c r="C7" i="18"/>
  <c r="E9" i="9"/>
  <c r="F23" i="7"/>
  <c r="D12" i="7"/>
  <c r="D7" i="18" s="1"/>
  <c r="D3" i="19"/>
  <c r="F34" i="4"/>
  <c r="E9" i="4"/>
  <c r="C10" i="7"/>
  <c r="C11" i="7" s="1"/>
  <c r="C23" i="4"/>
  <c r="B10" i="13"/>
  <c r="C14" i="10"/>
  <c r="C3" i="15"/>
  <c r="C34" i="1"/>
  <c r="C8" i="2" s="1"/>
  <c r="C6" i="2" s="1"/>
  <c r="D4" i="14" s="1"/>
  <c r="C11" i="14" s="1"/>
  <c r="E11" i="14" s="1"/>
  <c r="D45" i="7"/>
  <c r="F9" i="10"/>
  <c r="E14" i="10"/>
  <c r="K6" i="12"/>
  <c r="E5" i="12"/>
  <c r="H6" i="12"/>
  <c r="E6" i="12"/>
  <c r="D6" i="12"/>
  <c r="F6" i="12"/>
  <c r="F5" i="12"/>
  <c r="G5" i="12"/>
  <c r="I6" i="12"/>
  <c r="D15" i="10"/>
  <c r="F6" i="18" l="1"/>
  <c r="F28" i="7"/>
  <c r="K5" i="21"/>
  <c r="J6" i="21"/>
  <c r="C10" i="14"/>
  <c r="E10" i="14" s="1"/>
  <c r="H15" i="18"/>
  <c r="C12" i="14"/>
  <c r="E12" i="14" s="1"/>
  <c r="C8" i="4"/>
  <c r="D8" i="4" s="1"/>
  <c r="E8" i="4" s="1"/>
  <c r="F8" i="4" s="1"/>
  <c r="G8" i="4" s="1"/>
  <c r="H8" i="4" s="1"/>
  <c r="I8" i="4" s="1"/>
  <c r="J8" i="4" s="1"/>
  <c r="K8" i="4" s="1"/>
  <c r="E11" i="9"/>
  <c r="E12" i="9" s="1"/>
  <c r="C5" i="18"/>
  <c r="E12" i="7"/>
  <c r="E7" i="18" s="1"/>
  <c r="G23" i="7"/>
  <c r="G34" i="4"/>
  <c r="F9" i="4"/>
  <c r="C15" i="10"/>
  <c r="C10" i="13"/>
  <c r="D23" i="4"/>
  <c r="D10" i="7"/>
  <c r="E3" i="15"/>
  <c r="D3" i="15"/>
  <c r="C17" i="7"/>
  <c r="E15" i="10"/>
  <c r="D9" i="7"/>
  <c r="C38" i="7"/>
  <c r="H5" i="12"/>
  <c r="J5" i="12"/>
  <c r="C6" i="12"/>
  <c r="J6" i="12"/>
  <c r="D5" i="12"/>
  <c r="I5" i="12"/>
  <c r="C5" i="12"/>
  <c r="G6" i="12"/>
  <c r="K5" i="12"/>
  <c r="D16" i="10"/>
  <c r="D17" i="10" s="1"/>
  <c r="D18" i="10" s="1"/>
  <c r="G6" i="18" l="1"/>
  <c r="G28" i="7"/>
  <c r="I45" i="7"/>
  <c r="C13" i="14"/>
  <c r="E13" i="14" s="1"/>
  <c r="E14" i="9"/>
  <c r="F11" i="11"/>
  <c r="L5" i="21"/>
  <c r="L6" i="21" s="1"/>
  <c r="K6" i="21"/>
  <c r="C18" i="4"/>
  <c r="C20" i="4" s="1"/>
  <c r="C44" i="7" s="1"/>
  <c r="C46" i="7" s="1"/>
  <c r="C14" i="14"/>
  <c r="E14" i="14" s="1"/>
  <c r="F3" i="15"/>
  <c r="E3" i="19"/>
  <c r="D11" i="4"/>
  <c r="E11" i="4"/>
  <c r="C11" i="4"/>
  <c r="B8" i="18" s="1"/>
  <c r="D5" i="18"/>
  <c r="H23" i="7"/>
  <c r="F12" i="7"/>
  <c r="F7" i="18" s="1"/>
  <c r="F3" i="19"/>
  <c r="F11" i="4"/>
  <c r="H34" i="4"/>
  <c r="G9" i="4"/>
  <c r="G11" i="4" s="1"/>
  <c r="D11" i="7"/>
  <c r="D38" i="7" s="1"/>
  <c r="E23" i="4"/>
  <c r="E10" i="7"/>
  <c r="D10" i="13"/>
  <c r="C16" i="10"/>
  <c r="E16" i="10"/>
  <c r="D19" i="10"/>
  <c r="H6" i="18" l="1"/>
  <c r="H28" i="7"/>
  <c r="C13" i="4"/>
  <c r="C15" i="4" s="1"/>
  <c r="C47" i="7" s="1"/>
  <c r="C48" i="7" s="1"/>
  <c r="B9" i="18"/>
  <c r="B10" i="18" s="1"/>
  <c r="C21" i="7"/>
  <c r="C15" i="14"/>
  <c r="E15" i="14" s="1"/>
  <c r="G13" i="4"/>
  <c r="F4" i="19" s="1"/>
  <c r="F5" i="19" s="1"/>
  <c r="F6" i="19" s="1"/>
  <c r="F8" i="18"/>
  <c r="E13" i="4"/>
  <c r="D4" i="19" s="1"/>
  <c r="D5" i="19" s="1"/>
  <c r="D6" i="19" s="1"/>
  <c r="D8" i="18"/>
  <c r="F13" i="4"/>
  <c r="E4" i="19" s="1"/>
  <c r="E5" i="19" s="1"/>
  <c r="E6" i="19" s="1"/>
  <c r="E8" i="18"/>
  <c r="D13" i="4"/>
  <c r="C4" i="19" s="1"/>
  <c r="C5" i="19" s="1"/>
  <c r="C6" i="19" s="1"/>
  <c r="C8" i="18"/>
  <c r="E5" i="18"/>
  <c r="G12" i="7"/>
  <c r="G7" i="18" s="1"/>
  <c r="G3" i="19"/>
  <c r="G3" i="15"/>
  <c r="I23" i="7"/>
  <c r="I34" i="4"/>
  <c r="H9" i="4"/>
  <c r="H11" i="4" s="1"/>
  <c r="E9" i="7"/>
  <c r="E11" i="7" s="1"/>
  <c r="E38" i="7" s="1"/>
  <c r="F10" i="7"/>
  <c r="E10" i="13"/>
  <c r="F23" i="4"/>
  <c r="C17" i="10"/>
  <c r="C18" i="10" s="1"/>
  <c r="E17" i="10"/>
  <c r="D20" i="10"/>
  <c r="D21" i="10" s="1"/>
  <c r="I6" i="18" l="1"/>
  <c r="I28" i="7"/>
  <c r="B4" i="19"/>
  <c r="B5" i="19" s="1"/>
  <c r="B6" i="19" s="1"/>
  <c r="D15" i="4"/>
  <c r="D47" i="7" s="1"/>
  <c r="C22" i="4"/>
  <c r="B7" i="13" s="1"/>
  <c r="B9" i="13" s="1"/>
  <c r="B11" i="13" s="1"/>
  <c r="B13" i="13" s="1"/>
  <c r="B14" i="13" s="1"/>
  <c r="C26" i="4" s="1"/>
  <c r="B11" i="18" s="1"/>
  <c r="C16" i="14"/>
  <c r="E16" i="14" s="1"/>
  <c r="C39" i="7"/>
  <c r="C40" i="7" s="1"/>
  <c r="C32" i="7"/>
  <c r="H13" i="4"/>
  <c r="G4" i="19" s="1"/>
  <c r="G5" i="19" s="1"/>
  <c r="G6" i="19" s="1"/>
  <c r="G8" i="18"/>
  <c r="F5" i="18"/>
  <c r="K23" i="7"/>
  <c r="K28" i="7" s="1"/>
  <c r="J23" i="7"/>
  <c r="H12" i="7"/>
  <c r="H7" i="18" s="1"/>
  <c r="H3" i="19"/>
  <c r="H3" i="15"/>
  <c r="J34" i="4"/>
  <c r="I9" i="4"/>
  <c r="I11" i="4" s="1"/>
  <c r="F9" i="7"/>
  <c r="F11" i="7" s="1"/>
  <c r="F38" i="7" s="1"/>
  <c r="G10" i="7"/>
  <c r="F10" i="13"/>
  <c r="G23" i="4"/>
  <c r="C19" i="10"/>
  <c r="E18" i="10"/>
  <c r="H23" i="4" s="1"/>
  <c r="E15" i="4"/>
  <c r="E47" i="7" s="1"/>
  <c r="J6" i="18" l="1"/>
  <c r="J28" i="7"/>
  <c r="C25" i="4"/>
  <c r="B7" i="19" s="1"/>
  <c r="C17" i="14"/>
  <c r="E17" i="14" s="1"/>
  <c r="B12" i="18"/>
  <c r="I13" i="4"/>
  <c r="H4" i="19" s="1"/>
  <c r="H5" i="19" s="1"/>
  <c r="H6" i="19" s="1"/>
  <c r="H8" i="18"/>
  <c r="G5" i="18"/>
  <c r="I3" i="19"/>
  <c r="I12" i="7"/>
  <c r="I7" i="18" s="1"/>
  <c r="I3" i="15"/>
  <c r="G9" i="7"/>
  <c r="G11" i="7" s="1"/>
  <c r="J9" i="4"/>
  <c r="H10" i="7"/>
  <c r="G10" i="13"/>
  <c r="C20" i="10"/>
  <c r="C21" i="10"/>
  <c r="E19" i="10"/>
  <c r="E20" i="10" s="1"/>
  <c r="C27" i="4" l="1"/>
  <c r="C28" i="4" s="1"/>
  <c r="B13" i="18" s="1"/>
  <c r="B22" i="18" s="1"/>
  <c r="K34" i="4"/>
  <c r="E8" i="11" s="1"/>
  <c r="C18" i="14"/>
  <c r="E18" i="14" s="1"/>
  <c r="D18" i="4"/>
  <c r="D20" i="4" s="1"/>
  <c r="H5" i="18"/>
  <c r="J12" i="7"/>
  <c r="J7" i="18" s="1"/>
  <c r="G38" i="7"/>
  <c r="H9" i="7"/>
  <c r="H11" i="7" s="1"/>
  <c r="I10" i="7"/>
  <c r="I23" i="4"/>
  <c r="H10" i="13"/>
  <c r="I10" i="13"/>
  <c r="J10" i="7"/>
  <c r="J23" i="4"/>
  <c r="K23" i="4"/>
  <c r="F13" i="11"/>
  <c r="F14" i="11" s="1"/>
  <c r="D23" i="11" s="1"/>
  <c r="E21" i="10"/>
  <c r="J10" i="13" s="1"/>
  <c r="F15" i="4"/>
  <c r="F47" i="7" s="1"/>
  <c r="B8" i="19" l="1"/>
  <c r="D20" i="11"/>
  <c r="D21" i="11" s="1"/>
  <c r="D24" i="11" s="1"/>
  <c r="D26" i="11" s="1"/>
  <c r="F8" i="11"/>
  <c r="F9" i="11" s="1"/>
  <c r="K9" i="4"/>
  <c r="C29" i="4"/>
  <c r="C18" i="7" s="1"/>
  <c r="C20" i="7" s="1"/>
  <c r="C24" i="7" s="1"/>
  <c r="D22" i="4"/>
  <c r="D44" i="7"/>
  <c r="D46" i="7" s="1"/>
  <c r="D48" i="7" s="1"/>
  <c r="C9" i="18"/>
  <c r="D21" i="7"/>
  <c r="C19" i="14"/>
  <c r="E19" i="14" s="1"/>
  <c r="B25" i="18"/>
  <c r="B23" i="18"/>
  <c r="B26" i="18" s="1"/>
  <c r="K12" i="7"/>
  <c r="J5" i="18" s="1"/>
  <c r="J3" i="19"/>
  <c r="I5" i="18"/>
  <c r="B14" i="18"/>
  <c r="B16" i="18" s="1"/>
  <c r="H38" i="7"/>
  <c r="I9" i="7"/>
  <c r="I11" i="7" s="1"/>
  <c r="J9" i="7" s="1"/>
  <c r="J11" i="7" s="1"/>
  <c r="K10" i="7"/>
  <c r="D17" i="7" l="1"/>
  <c r="C33" i="7"/>
  <c r="C34" i="7" s="1"/>
  <c r="D39" i="7"/>
  <c r="D40" i="7" s="1"/>
  <c r="D32" i="7"/>
  <c r="C20" i="14"/>
  <c r="E20" i="14" s="1"/>
  <c r="D25" i="4"/>
  <c r="C7" i="13"/>
  <c r="C9" i="13" s="1"/>
  <c r="C11" i="13" s="1"/>
  <c r="C13" i="13" s="1"/>
  <c r="C14" i="13" s="1"/>
  <c r="D26" i="4" s="1"/>
  <c r="C11" i="18" s="1"/>
  <c r="C4" i="18"/>
  <c r="C13" i="7"/>
  <c r="I38" i="7"/>
  <c r="I40" i="7" s="1"/>
  <c r="J38" i="7"/>
  <c r="J40" i="7" s="1"/>
  <c r="K9" i="7"/>
  <c r="K11" i="7" s="1"/>
  <c r="K38" i="7" s="1"/>
  <c r="K40" i="7" s="1"/>
  <c r="G15" i="4"/>
  <c r="G47" i="7" s="1"/>
  <c r="C7" i="19" l="1"/>
  <c r="D27" i="4"/>
  <c r="C21" i="14"/>
  <c r="E21" i="14" s="1"/>
  <c r="C10" i="18"/>
  <c r="C12" i="18" s="1"/>
  <c r="C20" i="18"/>
  <c r="C14" i="7"/>
  <c r="C27" i="7"/>
  <c r="C29" i="7" s="1"/>
  <c r="C22" i="14" l="1"/>
  <c r="E22" i="14" s="1"/>
  <c r="E18" i="4"/>
  <c r="E20" i="4" s="1"/>
  <c r="C8" i="19"/>
  <c r="D28" i="4"/>
  <c r="C13" i="18" s="1"/>
  <c r="C22" i="18" s="1"/>
  <c r="C23" i="18" s="1"/>
  <c r="C21" i="18"/>
  <c r="H15" i="4"/>
  <c r="H47" i="7" s="1"/>
  <c r="C26" i="18" l="1"/>
  <c r="D29" i="4"/>
  <c r="D18" i="7" s="1"/>
  <c r="D20" i="7" s="1"/>
  <c r="D24" i="7" s="1"/>
  <c r="C25" i="18"/>
  <c r="C14" i="18"/>
  <c r="C16" i="18" s="1"/>
  <c r="D13" i="7" s="1"/>
  <c r="D27" i="7" s="1"/>
  <c r="D29" i="7" s="1"/>
  <c r="E21" i="7"/>
  <c r="C23" i="14"/>
  <c r="E23" i="14" s="1"/>
  <c r="D9" i="18"/>
  <c r="E22" i="4"/>
  <c r="E44" i="7"/>
  <c r="E46" i="7" s="1"/>
  <c r="E48" i="7" s="1"/>
  <c r="E17" i="7" l="1"/>
  <c r="D33" i="7"/>
  <c r="D34" i="7" s="1"/>
  <c r="D14" i="7"/>
  <c r="D4" i="18"/>
  <c r="D10" i="18" s="1"/>
  <c r="E39" i="7"/>
  <c r="E40" i="7" s="1"/>
  <c r="E32" i="7"/>
  <c r="C24" i="14"/>
  <c r="E24" i="14" s="1"/>
  <c r="E25" i="4"/>
  <c r="D7" i="13"/>
  <c r="D9" i="13" s="1"/>
  <c r="D11" i="13" s="1"/>
  <c r="D13" i="13" s="1"/>
  <c r="D14" i="13" s="1"/>
  <c r="E26" i="4" s="1"/>
  <c r="D11" i="18" s="1"/>
  <c r="I15" i="4"/>
  <c r="I47" i="7" s="1"/>
  <c r="D20" i="18" l="1"/>
  <c r="D21" i="18" s="1"/>
  <c r="D12" i="18"/>
  <c r="C25" i="14"/>
  <c r="E25" i="14" s="1"/>
  <c r="D7" i="19"/>
  <c r="E27" i="4"/>
  <c r="D8" i="19" l="1"/>
  <c r="E28" i="4"/>
  <c r="D13" i="18" s="1"/>
  <c r="F18" i="4"/>
  <c r="F20" i="4" s="1"/>
  <c r="C26" i="14"/>
  <c r="E26" i="14" s="1"/>
  <c r="J11" i="4"/>
  <c r="K11" i="4"/>
  <c r="E29" i="4" l="1"/>
  <c r="E18" i="7" s="1"/>
  <c r="E20" i="7" s="1"/>
  <c r="E33" i="7" s="1"/>
  <c r="E34" i="7" s="1"/>
  <c r="F21" i="7"/>
  <c r="C27" i="14"/>
  <c r="E27" i="14" s="1"/>
  <c r="E9" i="18"/>
  <c r="F44" i="7"/>
  <c r="F46" i="7" s="1"/>
  <c r="F48" i="7" s="1"/>
  <c r="F22" i="4"/>
  <c r="D22" i="18"/>
  <c r="D14" i="18"/>
  <c r="D16" i="18" s="1"/>
  <c r="J13" i="4"/>
  <c r="I4" i="19" s="1"/>
  <c r="I5" i="19" s="1"/>
  <c r="I6" i="19" s="1"/>
  <c r="I8" i="18"/>
  <c r="K13" i="4"/>
  <c r="J4" i="19" s="1"/>
  <c r="J5" i="19" s="1"/>
  <c r="J6" i="19" s="1"/>
  <c r="J8" i="18"/>
  <c r="J3" i="15"/>
  <c r="K3" i="15"/>
  <c r="J15" i="4" l="1"/>
  <c r="J22" i="4" s="1"/>
  <c r="E24" i="7"/>
  <c r="F17" i="7"/>
  <c r="F25" i="4"/>
  <c r="E7" i="13"/>
  <c r="E9" i="13" s="1"/>
  <c r="E11" i="13" s="1"/>
  <c r="E13" i="13" s="1"/>
  <c r="E14" i="13" s="1"/>
  <c r="F26" i="4" s="1"/>
  <c r="E11" i="18" s="1"/>
  <c r="E13" i="7"/>
  <c r="E4" i="18"/>
  <c r="D23" i="18"/>
  <c r="D26" i="18" s="1"/>
  <c r="D25" i="18"/>
  <c r="C28" i="14"/>
  <c r="E28" i="14" s="1"/>
  <c r="F39" i="7"/>
  <c r="F40" i="7" s="1"/>
  <c r="F32" i="7"/>
  <c r="K15" i="4"/>
  <c r="J47" i="7" l="1"/>
  <c r="J48" i="7" s="1"/>
  <c r="C29" i="14"/>
  <c r="E29" i="14" s="1"/>
  <c r="E10" i="18"/>
  <c r="E12" i="18" s="1"/>
  <c r="E20" i="18"/>
  <c r="E21" i="18" s="1"/>
  <c r="E14" i="7"/>
  <c r="E27" i="7"/>
  <c r="E29" i="7" s="1"/>
  <c r="E7" i="19"/>
  <c r="F27" i="4"/>
  <c r="I7" i="13"/>
  <c r="I9" i="13" s="1"/>
  <c r="I11" i="13" s="1"/>
  <c r="I13" i="13" s="1"/>
  <c r="I14" i="13" s="1"/>
  <c r="J26" i="4" s="1"/>
  <c r="I11" i="18" s="1"/>
  <c r="I7" i="19"/>
  <c r="K22" i="4"/>
  <c r="J7" i="19" s="1"/>
  <c r="K47" i="7"/>
  <c r="K48" i="7" s="1"/>
  <c r="G18" i="4" l="1"/>
  <c r="G20" i="4" s="1"/>
  <c r="G21" i="7"/>
  <c r="C30" i="14"/>
  <c r="E30" i="14" s="1"/>
  <c r="E8" i="19"/>
  <c r="F28" i="4"/>
  <c r="J27" i="4"/>
  <c r="J7" i="13"/>
  <c r="J9" i="13" s="1"/>
  <c r="J11" i="13" s="1"/>
  <c r="J13" i="13" s="1"/>
  <c r="J14" i="13" s="1"/>
  <c r="K26" i="4" s="1"/>
  <c r="F29" i="4" l="1"/>
  <c r="F18" i="7" s="1"/>
  <c r="F20" i="7" s="1"/>
  <c r="E13" i="18"/>
  <c r="G32" i="7"/>
  <c r="G39" i="7"/>
  <c r="G40" i="7" s="1"/>
  <c r="C31" i="14"/>
  <c r="E31" i="14" s="1"/>
  <c r="F9" i="18"/>
  <c r="G44" i="7"/>
  <c r="G46" i="7" s="1"/>
  <c r="G48" i="7" s="1"/>
  <c r="F49" i="7" s="1"/>
  <c r="G22" i="4"/>
  <c r="J28" i="4"/>
  <c r="J29" i="4" s="1"/>
  <c r="J18" i="7" s="1"/>
  <c r="I8" i="19"/>
  <c r="K27" i="4"/>
  <c r="J11" i="18"/>
  <c r="C32" i="14" l="1"/>
  <c r="E32" i="14" s="1"/>
  <c r="E22" i="18"/>
  <c r="E14" i="18"/>
  <c r="E16" i="18" s="1"/>
  <c r="G25" i="4"/>
  <c r="F7" i="13"/>
  <c r="F9" i="13" s="1"/>
  <c r="F11" i="13" s="1"/>
  <c r="F13" i="13" s="1"/>
  <c r="F14" i="13" s="1"/>
  <c r="G26" i="4" s="1"/>
  <c r="F11" i="18" s="1"/>
  <c r="F24" i="7"/>
  <c r="F33" i="7"/>
  <c r="F34" i="7" s="1"/>
  <c r="G17" i="7"/>
  <c r="I13" i="18"/>
  <c r="I22" i="18" s="1"/>
  <c r="I23" i="18" s="1"/>
  <c r="K28" i="4"/>
  <c r="J13" i="18" s="1"/>
  <c r="J22" i="18" s="1"/>
  <c r="J23" i="18" s="1"/>
  <c r="J8" i="19"/>
  <c r="F7" i="19" l="1"/>
  <c r="G27" i="4"/>
  <c r="F13" i="7"/>
  <c r="F4" i="18"/>
  <c r="E23" i="18"/>
  <c r="E26" i="18" s="1"/>
  <c r="E25" i="18"/>
  <c r="C33" i="14"/>
  <c r="K29" i="4"/>
  <c r="K18" i="7" s="1"/>
  <c r="F20" i="18" l="1"/>
  <c r="F10" i="18"/>
  <c r="F12" i="18" s="1"/>
  <c r="F27" i="7"/>
  <c r="F29" i="7" s="1"/>
  <c r="F14" i="7"/>
  <c r="G28" i="4"/>
  <c r="F13" i="18" s="1"/>
  <c r="F22" i="18" s="1"/>
  <c r="F23" i="18" s="1"/>
  <c r="F8" i="19"/>
  <c r="H18" i="4"/>
  <c r="H20" i="4" s="1"/>
  <c r="E34" i="14"/>
  <c r="F14" i="18" l="1"/>
  <c r="F16" i="18" s="1"/>
  <c r="G13" i="7" s="1"/>
  <c r="G9" i="18"/>
  <c r="H22" i="4"/>
  <c r="H44" i="7"/>
  <c r="H46" i="7" s="1"/>
  <c r="H48" i="7" s="1"/>
  <c r="G29" i="4"/>
  <c r="G18" i="7" s="1"/>
  <c r="G20" i="7" s="1"/>
  <c r="C35" i="14"/>
  <c r="E35" i="14" s="1"/>
  <c r="H32" i="7"/>
  <c r="H39" i="7"/>
  <c r="H40" i="7" s="1"/>
  <c r="F41" i="7" s="1"/>
  <c r="F21" i="18"/>
  <c r="F26" i="18" s="1"/>
  <c r="F25" i="18"/>
  <c r="G4" i="18" l="1"/>
  <c r="G10" i="18" s="1"/>
  <c r="C36" i="14"/>
  <c r="E36" i="14" s="1"/>
  <c r="G14" i="7"/>
  <c r="G27" i="7"/>
  <c r="G29" i="7" s="1"/>
  <c r="G24" i="7"/>
  <c r="G33" i="7"/>
  <c r="G34" i="7" s="1"/>
  <c r="H17" i="7"/>
  <c r="G7" i="13"/>
  <c r="G9" i="13" s="1"/>
  <c r="G11" i="13" s="1"/>
  <c r="G13" i="13" s="1"/>
  <c r="G14" i="13" s="1"/>
  <c r="H26" i="4" s="1"/>
  <c r="G11" i="18" s="1"/>
  <c r="G20" i="18" l="1"/>
  <c r="G21" i="18" s="1"/>
  <c r="G12" i="18"/>
  <c r="C37" i="14"/>
  <c r="E37" i="14" s="1"/>
  <c r="I18" i="4" s="1"/>
  <c r="I20" i="4" s="1"/>
  <c r="G7" i="19"/>
  <c r="H27" i="4"/>
  <c r="H28" i="4" l="1"/>
  <c r="G13" i="18" s="1"/>
  <c r="G8" i="19"/>
  <c r="I22" i="4"/>
  <c r="H9" i="18"/>
  <c r="I44" i="7"/>
  <c r="I46" i="7" s="1"/>
  <c r="I48" i="7" s="1"/>
  <c r="H29" i="4" l="1"/>
  <c r="H18" i="7" s="1"/>
  <c r="H20" i="7" s="1"/>
  <c r="H24" i="7" s="1"/>
  <c r="H7" i="13"/>
  <c r="H9" i="13" s="1"/>
  <c r="H11" i="13" s="1"/>
  <c r="H13" i="13" s="1"/>
  <c r="H14" i="13" s="1"/>
  <c r="I26" i="4" s="1"/>
  <c r="H11" i="18" s="1"/>
  <c r="G14" i="18"/>
  <c r="G16" i="18" s="1"/>
  <c r="G22" i="18"/>
  <c r="H33" i="7" l="1"/>
  <c r="H34" i="7" s="1"/>
  <c r="I17" i="7"/>
  <c r="G23" i="18"/>
  <c r="G26" i="18" s="1"/>
  <c r="G25" i="18"/>
  <c r="H13" i="7"/>
  <c r="H4" i="18"/>
  <c r="H7" i="19"/>
  <c r="I27" i="4"/>
  <c r="I28" i="4" l="1"/>
  <c r="H13" i="18" s="1"/>
  <c r="H22" i="18" s="1"/>
  <c r="H23" i="18" s="1"/>
  <c r="H8" i="19"/>
  <c r="H20" i="18"/>
  <c r="H10" i="18"/>
  <c r="H12" i="18" s="1"/>
  <c r="H14" i="7"/>
  <c r="H27" i="7"/>
  <c r="H29" i="7" s="1"/>
  <c r="H14" i="18" l="1"/>
  <c r="H16" i="18" s="1"/>
  <c r="I4" i="18" s="1"/>
  <c r="I29" i="4"/>
  <c r="I18" i="7" s="1"/>
  <c r="I20" i="7" s="1"/>
  <c r="I24" i="7" s="1"/>
  <c r="H21" i="18"/>
  <c r="H26" i="18" s="1"/>
  <c r="H25" i="18"/>
  <c r="I33" i="7" l="1"/>
  <c r="I34" i="7" s="1"/>
  <c r="J17" i="7"/>
  <c r="J20" i="7" s="1"/>
  <c r="J24" i="7" s="1"/>
  <c r="I13" i="7"/>
  <c r="I14" i="7" s="1"/>
  <c r="I20" i="18"/>
  <c r="I10" i="18"/>
  <c r="I12" i="18" s="1"/>
  <c r="I14" i="18" s="1"/>
  <c r="I16" i="18" s="1"/>
  <c r="K17" i="7" l="1"/>
  <c r="K20" i="7" s="1"/>
  <c r="K33" i="7" s="1"/>
  <c r="K34" i="7" s="1"/>
  <c r="J33" i="7"/>
  <c r="J34" i="7" s="1"/>
  <c r="I27" i="7"/>
  <c r="I29" i="7" s="1"/>
  <c r="J4" i="18"/>
  <c r="J13" i="7"/>
  <c r="I21" i="18"/>
  <c r="I26" i="18" s="1"/>
  <c r="I25" i="18"/>
  <c r="K24" i="7" l="1"/>
  <c r="F35" i="7"/>
  <c r="J14" i="7"/>
  <c r="J27" i="7"/>
  <c r="J29" i="7" s="1"/>
  <c r="J10" i="18"/>
  <c r="J12" i="18" s="1"/>
  <c r="J14" i="18" s="1"/>
  <c r="J16" i="18" s="1"/>
  <c r="K13" i="7" s="1"/>
  <c r="J20" i="18"/>
  <c r="J25" i="18" l="1"/>
  <c r="J21" i="18"/>
  <c r="J26" i="18" s="1"/>
  <c r="K26" i="18" s="1"/>
  <c r="K14" i="7"/>
  <c r="K27" i="7"/>
  <c r="K29" i="7" s="1"/>
  <c r="F30" i="7" s="1"/>
</calcChain>
</file>

<file path=xl/sharedStrings.xml><?xml version="1.0" encoding="utf-8"?>
<sst xmlns="http://schemas.openxmlformats.org/spreadsheetml/2006/main" count="392" uniqueCount="287">
  <si>
    <t>Annexure 1 - Estimated cost of the project</t>
  </si>
  <si>
    <t>Estimated cost of project</t>
  </si>
  <si>
    <t xml:space="preserve">Sr. No. </t>
  </si>
  <si>
    <t>Particulars</t>
  </si>
  <si>
    <t>Grand Total (in lakhs)</t>
  </si>
  <si>
    <t>(a)</t>
  </si>
  <si>
    <t>Land and site development</t>
  </si>
  <si>
    <t>Land (Lease in name of company)</t>
  </si>
  <si>
    <t>Total</t>
  </si>
  <si>
    <t>Civil Work</t>
  </si>
  <si>
    <t>Plant and Machinery (indegenous)</t>
  </si>
  <si>
    <t>Plant and Machinery</t>
  </si>
  <si>
    <t>Miscellanoeus Fixed Assets</t>
  </si>
  <si>
    <t>Cost</t>
  </si>
  <si>
    <t>Working Capital Margin</t>
  </si>
  <si>
    <t>Preliminary Expenses</t>
  </si>
  <si>
    <t>Security Deposit</t>
  </si>
  <si>
    <t>Pre-Operative Expense</t>
  </si>
  <si>
    <t>(for 6 months upto the date od commencement of commercial production)</t>
  </si>
  <si>
    <t>Establisment and Travelling and Other Expenses</t>
  </si>
  <si>
    <t>(b)</t>
  </si>
  <si>
    <t>Legal and Misc Expense</t>
  </si>
  <si>
    <t>Total Cost of Project</t>
  </si>
  <si>
    <t>Annexure 2 - Means of Finance</t>
  </si>
  <si>
    <t>Sr. No.</t>
  </si>
  <si>
    <t>Item</t>
  </si>
  <si>
    <t>Promoter's equity</t>
  </si>
  <si>
    <t>Eligible Assistance</t>
  </si>
  <si>
    <t>Term Loan</t>
  </si>
  <si>
    <t>CC Limit</t>
  </si>
  <si>
    <t>Annexure 3 - Complete Estimate of Civil and Plant and Machinery</t>
  </si>
  <si>
    <t>Complete Estimate of Civil and plant and machinery</t>
  </si>
  <si>
    <t>1. Civil work and other</t>
  </si>
  <si>
    <t>Boundary</t>
  </si>
  <si>
    <t>Guard Room</t>
  </si>
  <si>
    <t>genset area</t>
  </si>
  <si>
    <t>Labour quarter</t>
  </si>
  <si>
    <t>Waste management</t>
  </si>
  <si>
    <t>Tube well</t>
  </si>
  <si>
    <t>Labour changing room with washroom</t>
  </si>
  <si>
    <t>office</t>
  </si>
  <si>
    <t>Visitor room</t>
  </si>
  <si>
    <t>Tool and technical staff room</t>
  </si>
  <si>
    <t>Store room</t>
  </si>
  <si>
    <t>Interlocking paver bock</t>
  </si>
  <si>
    <t>Sliding main gate</t>
  </si>
  <si>
    <t>Area/ capacity</t>
  </si>
  <si>
    <t>1 acre</t>
  </si>
  <si>
    <t>10 sq mtr</t>
  </si>
  <si>
    <t>15 sq mtr</t>
  </si>
  <si>
    <t>20 sq mtr</t>
  </si>
  <si>
    <t>Units</t>
  </si>
  <si>
    <t>120 RM</t>
  </si>
  <si>
    <t>Rate</t>
  </si>
  <si>
    <t>Amt</t>
  </si>
  <si>
    <t>Total (Civil work)</t>
  </si>
  <si>
    <t>Pack house building</t>
  </si>
  <si>
    <t>Sorting grading line</t>
  </si>
  <si>
    <t>Manual Fork lift</t>
  </si>
  <si>
    <t>Dock shelter Leveler</t>
  </si>
  <si>
    <t>Forklift for high rech</t>
  </si>
  <si>
    <t>Genset</t>
  </si>
  <si>
    <t>servo stablizers</t>
  </si>
  <si>
    <t>plastic crates</t>
  </si>
  <si>
    <t>pre cooling unit</t>
  </si>
  <si>
    <t>Staging Room and Cold room</t>
  </si>
  <si>
    <t>program logic controller</t>
  </si>
  <si>
    <t>Reefer vans</t>
  </si>
  <si>
    <t>solar system</t>
  </si>
  <si>
    <t>Fire fighting arrangement</t>
  </si>
  <si>
    <t>Floor cleaning machine</t>
  </si>
  <si>
    <t>Semi automatic stacker</t>
  </si>
  <si>
    <t>2. Plant and machinery</t>
  </si>
  <si>
    <t>800 sq mtr</t>
  </si>
  <si>
    <t>2MT</t>
  </si>
  <si>
    <t>200KVA</t>
  </si>
  <si>
    <t>20 KG</t>
  </si>
  <si>
    <t>6 MT</t>
  </si>
  <si>
    <t>54 MT</t>
  </si>
  <si>
    <t>9 MT</t>
  </si>
  <si>
    <t>Total Plant and Machinery</t>
  </si>
  <si>
    <t>Total fixed Assets</t>
  </si>
  <si>
    <t>Annexure 4 - Estimated Cost of Production</t>
  </si>
  <si>
    <t>Sr. No</t>
  </si>
  <si>
    <t>Description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</si>
  <si>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</si>
  <si>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</si>
  <si>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</si>
  <si>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</si>
  <si>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</si>
  <si>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</si>
  <si>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</si>
  <si>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</si>
  <si>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</si>
  <si>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Year ending March 31st</t>
  </si>
  <si>
    <t>No of Working months</t>
  </si>
  <si>
    <t>Sales</t>
  </si>
  <si>
    <t>Administrative salaries and wages</t>
  </si>
  <si>
    <t>S. No.</t>
  </si>
  <si>
    <t>Designation</t>
  </si>
  <si>
    <t>In no.</t>
  </si>
  <si>
    <t>Salary per person per month</t>
  </si>
  <si>
    <t>Monthly cost</t>
  </si>
  <si>
    <t>i.</t>
  </si>
  <si>
    <t>ii.</t>
  </si>
  <si>
    <t>Labour</t>
  </si>
  <si>
    <t>Total annual wages</t>
  </si>
  <si>
    <t>Annual increase in wages</t>
  </si>
  <si>
    <t>Accountant</t>
  </si>
  <si>
    <t>iii.</t>
  </si>
  <si>
    <t>Computation of Depreciation</t>
  </si>
  <si>
    <t>Annexure 9 - Computation of Depreciation</t>
  </si>
  <si>
    <t>Pre operatives</t>
  </si>
  <si>
    <t>Contingencies</t>
  </si>
  <si>
    <t>Building and civil work</t>
  </si>
  <si>
    <t>Misc Fixed Asset</t>
  </si>
  <si>
    <t>Amount in lakhs</t>
  </si>
  <si>
    <t>Rates of Depreciation</t>
  </si>
  <si>
    <t>Year</t>
  </si>
  <si>
    <t>Annexure 11- Break even analysis (At maximum capacity utilization)</t>
  </si>
  <si>
    <t>Break even capacity at maximum capacity utilixzation</t>
  </si>
  <si>
    <t>Variable cost</t>
  </si>
  <si>
    <t>- Interest on Working capital</t>
  </si>
  <si>
    <t>Contribution</t>
  </si>
  <si>
    <t>Less: fixed cost</t>
  </si>
  <si>
    <t>Wages and salaries</t>
  </si>
  <si>
    <t>- electricity expense</t>
  </si>
  <si>
    <t>Depreciation</t>
  </si>
  <si>
    <t>Office Electricity expense</t>
  </si>
  <si>
    <t>FC</t>
  </si>
  <si>
    <t>Fixed cost</t>
  </si>
  <si>
    <t>Contribution per unit</t>
  </si>
  <si>
    <t>Electricity charges</t>
  </si>
  <si>
    <t>Interest on Working capital</t>
  </si>
  <si>
    <t>Sales price per kg</t>
  </si>
  <si>
    <t>Annexure 12 - Profitability statement</t>
  </si>
  <si>
    <t>Years</t>
  </si>
  <si>
    <t>Vegetable procument expense</t>
  </si>
  <si>
    <t>Fruits procurement expense</t>
  </si>
  <si>
    <t>Direct Expenses</t>
  </si>
  <si>
    <t>Cost of Sales</t>
  </si>
  <si>
    <t>Expected sales revenue</t>
  </si>
  <si>
    <t>Gross Profit</t>
  </si>
  <si>
    <t>Financial expense</t>
  </si>
  <si>
    <t>Interest on Term Loan</t>
  </si>
  <si>
    <t>Annexure 13 - Repayment schedule</t>
  </si>
  <si>
    <t>Repayment schedule</t>
  </si>
  <si>
    <t>Amount of Loan (in lakhs)</t>
  </si>
  <si>
    <t>Rate of interest</t>
  </si>
  <si>
    <t>Moratorium period</t>
  </si>
  <si>
    <t>Quarter</t>
  </si>
  <si>
    <t>Balance outstanding</t>
  </si>
  <si>
    <t>Interest</t>
  </si>
  <si>
    <t>Principal instalment</t>
  </si>
  <si>
    <t>total</t>
  </si>
  <si>
    <t>Operating profits (PBT)</t>
  </si>
  <si>
    <t>depreciation</t>
  </si>
  <si>
    <t>Net Profit before Tax</t>
  </si>
  <si>
    <t>Income Tax</t>
  </si>
  <si>
    <t>Profits after Tax</t>
  </si>
  <si>
    <t>Distribution of profits (80%)</t>
  </si>
  <si>
    <t>Annexure 10 - Calculation of Income tax</t>
  </si>
  <si>
    <t>Calculation of Income Tax</t>
  </si>
  <si>
    <t>Net profit before tax</t>
  </si>
  <si>
    <t>Add- dep on SLM</t>
  </si>
  <si>
    <t>Sub total</t>
  </si>
  <si>
    <t>Less- Dep on WDV</t>
  </si>
  <si>
    <t>Less - Deductions</t>
  </si>
  <si>
    <t>Taxable profits</t>
  </si>
  <si>
    <t>Income tax @30%</t>
  </si>
  <si>
    <t>Profit transfer to balance sheet</t>
  </si>
  <si>
    <t>Annexure 5- Projected balance sheet</t>
  </si>
  <si>
    <t>Projected Baalance sheet</t>
  </si>
  <si>
    <t>Asset</t>
  </si>
  <si>
    <t>Fixed Capital expenditure</t>
  </si>
  <si>
    <t>Gross Block</t>
  </si>
  <si>
    <t>Less- Depreciation</t>
  </si>
  <si>
    <t>net Block</t>
  </si>
  <si>
    <t>Sundry debtors</t>
  </si>
  <si>
    <t>Cash/ bank balance</t>
  </si>
  <si>
    <t>Liabilities</t>
  </si>
  <si>
    <t>Capital</t>
  </si>
  <si>
    <t>Add- Profit</t>
  </si>
  <si>
    <t>Less- Drawings</t>
  </si>
  <si>
    <t>Closing capital</t>
  </si>
  <si>
    <t>term Loan</t>
  </si>
  <si>
    <t>Total liabilities</t>
  </si>
  <si>
    <t>Total assets</t>
  </si>
  <si>
    <t>Current Ratio</t>
  </si>
  <si>
    <t>Current Assets</t>
  </si>
  <si>
    <t>Current Liabilities</t>
  </si>
  <si>
    <t>1. asssumed that 90 days of purchases are average creditors maintained</t>
  </si>
  <si>
    <t>2. assumed that 30 days of sales are average debtors maintained by the business</t>
  </si>
  <si>
    <t>Debt Equity ratio</t>
  </si>
  <si>
    <t>Debt</t>
  </si>
  <si>
    <t>Equity</t>
  </si>
  <si>
    <t>Ratio</t>
  </si>
  <si>
    <t>cash flow statement</t>
  </si>
  <si>
    <t>Sales realized</t>
  </si>
  <si>
    <t>Term loan</t>
  </si>
  <si>
    <t>assisstance</t>
  </si>
  <si>
    <t>less- Purchase of assets</t>
  </si>
  <si>
    <t>Debt service coverage ratio</t>
  </si>
  <si>
    <t>Interest on loan (TL + WC)</t>
  </si>
  <si>
    <t>Net operating income</t>
  </si>
  <si>
    <t>ratio</t>
  </si>
  <si>
    <t>Instalment of loan</t>
  </si>
  <si>
    <t>A</t>
  </si>
  <si>
    <t>B</t>
  </si>
  <si>
    <t>Average</t>
  </si>
  <si>
    <t>Fixed asset coverage ratio</t>
  </si>
  <si>
    <t>Fixed assets</t>
  </si>
  <si>
    <t>6 months</t>
  </si>
  <si>
    <t>2. Electricity usage in units is given below</t>
  </si>
  <si>
    <t>Stationery expense</t>
  </si>
  <si>
    <t>Electricity Expense</t>
  </si>
  <si>
    <t>Annexure 8 - Details of Mnpower</t>
  </si>
  <si>
    <t>Details of Manpower</t>
  </si>
  <si>
    <t>Security</t>
  </si>
  <si>
    <t>3. Stationery expense is fixed at Rs. 2,00,000 with annual increase of 2%</t>
  </si>
  <si>
    <t>Creditors</t>
  </si>
  <si>
    <t>Total manpower</t>
  </si>
  <si>
    <t>Cash Flow operations</t>
  </si>
  <si>
    <t>Add: Sales realizations</t>
  </si>
  <si>
    <t>Less: Interest payments</t>
  </si>
  <si>
    <t>Add: benefits @ 20%</t>
  </si>
  <si>
    <t>Working capital</t>
  </si>
  <si>
    <t>Interest on WC Loan</t>
  </si>
  <si>
    <t>Less: Payment made to creditors of previos year</t>
  </si>
  <si>
    <t>Add: Receipts from debtors of previos year</t>
  </si>
  <si>
    <t>Less: Payments made for current year purchase</t>
  </si>
  <si>
    <t>Income tax</t>
  </si>
  <si>
    <t>Distrucutions made from profits</t>
  </si>
  <si>
    <t>Less: Principal repayment of loan</t>
  </si>
  <si>
    <t>Opening cash Balance</t>
  </si>
  <si>
    <t>Closing cash balance</t>
  </si>
  <si>
    <t>Turnover</t>
  </si>
  <si>
    <t>Cost Of operations</t>
  </si>
  <si>
    <t>Gross profit</t>
  </si>
  <si>
    <t>EBITDA</t>
  </si>
  <si>
    <t>Profit before tax</t>
  </si>
  <si>
    <t>Profit after tax</t>
  </si>
  <si>
    <t>1. Warehouse electricity are semi-fixed cost. Rs. 90,000 pa is fixed, balance is variable at Rs. 12 per unit usage</t>
  </si>
  <si>
    <t>Warehouse</t>
  </si>
  <si>
    <t>Rs. per kg</t>
  </si>
  <si>
    <t>Usage in units</t>
  </si>
  <si>
    <t>Inflows</t>
  </si>
  <si>
    <t>Outflows</t>
  </si>
  <si>
    <t>Net cash inflow</t>
  </si>
  <si>
    <t>PVF</t>
  </si>
  <si>
    <t>PV dicounting rate</t>
  </si>
  <si>
    <t>PV of Inflows</t>
  </si>
  <si>
    <t>PV of Outflows</t>
  </si>
  <si>
    <t>Net Present value</t>
  </si>
  <si>
    <t>BEP in kgs</t>
  </si>
  <si>
    <t>BEP %</t>
  </si>
  <si>
    <t>Contents Table</t>
  </si>
  <si>
    <t>Contents</t>
  </si>
  <si>
    <t>Link</t>
  </si>
  <si>
    <t>Ann 1'!A1</t>
  </si>
  <si>
    <t>Ann 2'!A1</t>
  </si>
  <si>
    <t>Ann 3'!A1</t>
  </si>
  <si>
    <t>Ann 4'!A1</t>
  </si>
  <si>
    <t>Ann 5'!A1</t>
  </si>
  <si>
    <t>Ann 6'!A1</t>
  </si>
  <si>
    <t>Ann 7'!A1</t>
  </si>
  <si>
    <t>Ann 8'!A1</t>
  </si>
  <si>
    <t>Ann 9'!A1</t>
  </si>
  <si>
    <t>Ann 10'!A1</t>
  </si>
  <si>
    <t>Ann 11'!A1</t>
  </si>
  <si>
    <t>Ann 13'!A1</t>
  </si>
  <si>
    <t>Assumptions!A1</t>
  </si>
  <si>
    <t>Assumptions</t>
  </si>
  <si>
    <t>In the process of processing vegetables and fruits, it is assumed that there is normal loss of 10% of output produced</t>
  </si>
  <si>
    <t>Warehouse electricity are semi-fixed cost. Rs. 90,000 pa is fixed, balance is variable at Rs. 12 per unit usage</t>
  </si>
  <si>
    <t>Electricity usage in units is given below</t>
  </si>
  <si>
    <t>Stationery expense is fixed at Rs. 2,00,000 with annual increase of 2%</t>
  </si>
  <si>
    <t>Cash flows'!A1</t>
  </si>
  <si>
    <t>Capacity utilization in year I is 75% which will increase 5% annually</t>
  </si>
  <si>
    <t>4. Revenue is Rs. 8 per kg per day which increase at 5.5% per annum</t>
  </si>
  <si>
    <t>Revenue is Rs. 8 per kg per day which increase at 5.5% per annum</t>
  </si>
  <si>
    <t>Amount of subsidy (in lakhs)</t>
  </si>
  <si>
    <t>repaid via subsidy</t>
  </si>
  <si>
    <t>The amount Rs. 33 lakhs is sourced by Government subsidy. Since this is a back end subsidy, the amount is funded to bank at the end of repayment schedule.</t>
  </si>
  <si>
    <t>Other income - Subsidy for loan repayment</t>
  </si>
  <si>
    <t>DPR With subsidy</t>
  </si>
  <si>
    <t>In case of Capital subsidy, the amount vary depending on location of unit and scheme offered by the government at that time. Thus it is assumed here that 20% of project cost (Rs. 33 lakhs)is sourced through back end capital subsidy.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</si>
</sst>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4" fillId="0" borderId="0" xfId="0" applyFont="1"/>
    <xf numFmtId="0" fontId="0" fillId="0" borderId="3" xfId="0" applyBorder="1"/>
    <xf numFmtId="0" fontId="0" fillId="0" borderId="0" xfId="0" applyBorder="1"/>
    <xf numFmtId="0" fontId="0" fillId="0" borderId="9" xfId="0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Border="1"/>
    <xf numFmtId="164" fontId="0" fillId="0" borderId="9" xfId="1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4" xfId="0" applyNumberFormat="1" applyFont="1" applyBorder="1"/>
    <xf numFmtId="0" fontId="2" fillId="0" borderId="0" xfId="0" applyFont="1"/>
    <xf numFmtId="0" fontId="0" fillId="0" borderId="0" xfId="0" quotePrefix="1"/>
    <xf numFmtId="43" fontId="0" fillId="0" borderId="0" xfId="0" applyNumberFormat="1"/>
    <xf numFmtId="9" fontId="0" fillId="0" borderId="0" xfId="0" applyNumberFormat="1"/>
    <xf numFmtId="43" fontId="0" fillId="0" borderId="9" xfId="1" applyNumberFormat="1" applyFont="1" applyBorder="1"/>
    <xf numFmtId="43" fontId="0" fillId="0" borderId="9" xfId="0" applyNumberFormat="1" applyBorder="1"/>
    <xf numFmtId="43" fontId="0" fillId="0" borderId="10" xfId="0" applyNumberFormat="1" applyBorder="1"/>
    <xf numFmtId="164" fontId="0" fillId="0" borderId="1" xfId="1" applyNumberFormat="1" applyFont="1" applyBorder="1"/>
    <xf numFmtId="0" fontId="0" fillId="2" borderId="0" xfId="0" applyFill="1"/>
    <xf numFmtId="0" fontId="4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/>
    <xf numFmtId="43" fontId="0" fillId="0" borderId="4" xfId="0" applyNumberFormat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0" borderId="0" xfId="0" applyBorder="1" applyAlignment="1">
      <alignment horizontal="left"/>
    </xf>
    <xf numFmtId="0" fontId="3" fillId="0" borderId="0" xfId="0" applyFont="1"/>
    <xf numFmtId="164" fontId="0" fillId="0" borderId="1" xfId="0" applyNumberFormat="1" applyBorder="1"/>
    <xf numFmtId="0" fontId="0" fillId="0" borderId="1" xfId="0" applyFill="1" applyBorder="1"/>
    <xf numFmtId="10" fontId="0" fillId="0" borderId="0" xfId="2" applyNumberFormat="1" applyFont="1"/>
    <xf numFmtId="0" fontId="0" fillId="0" borderId="5" xfId="0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164" fontId="0" fillId="0" borderId="9" xfId="0" applyNumberFormat="1" applyBorder="1"/>
    <xf numFmtId="0" fontId="2" fillId="0" borderId="0" xfId="0" applyFont="1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164" fontId="0" fillId="0" borderId="10" xfId="0" applyNumberFormat="1" applyBorder="1"/>
    <xf numFmtId="164" fontId="0" fillId="0" borderId="4" xfId="0" applyNumberFormat="1" applyBorder="1"/>
    <xf numFmtId="43" fontId="0" fillId="0" borderId="1" xfId="1" applyFont="1" applyBorder="1"/>
    <xf numFmtId="0" fontId="0" fillId="0" borderId="15" xfId="0" applyBorder="1"/>
    <xf numFmtId="164" fontId="0" fillId="0" borderId="11" xfId="0" applyNumberFormat="1" applyBorder="1"/>
    <xf numFmtId="164" fontId="0" fillId="0" borderId="11" xfId="1" applyNumberFormat="1" applyFont="1" applyBorder="1"/>
    <xf numFmtId="43" fontId="0" fillId="0" borderId="11" xfId="0" applyNumberFormat="1" applyBorder="1"/>
    <xf numFmtId="0" fontId="0" fillId="0" borderId="0" xfId="0" applyFill="1" applyBorder="1"/>
    <xf numFmtId="0" fontId="0" fillId="3" borderId="8" xfId="0" applyFill="1" applyBorder="1"/>
    <xf numFmtId="0" fontId="0" fillId="3" borderId="0" xfId="0" applyFill="1" applyBorder="1"/>
    <xf numFmtId="0" fontId="0" fillId="3" borderId="11" xfId="0" applyFill="1" applyBorder="1"/>
    <xf numFmtId="0" fontId="0" fillId="3" borderId="9" xfId="0" applyFill="1" applyBorder="1"/>
    <xf numFmtId="164" fontId="0" fillId="3" borderId="9" xfId="0" applyNumberFormat="1" applyFill="1" applyBorder="1"/>
    <xf numFmtId="2" fontId="0" fillId="0" borderId="1" xfId="0" applyNumberFormat="1" applyBorder="1"/>
    <xf numFmtId="43" fontId="0" fillId="0" borderId="9" xfId="1" applyFont="1" applyBorder="1"/>
    <xf numFmtId="164" fontId="0" fillId="0" borderId="8" xfId="0" applyNumberFormat="1" applyFill="1" applyBorder="1"/>
    <xf numFmtId="165" fontId="0" fillId="0" borderId="0" xfId="0" applyNumberFormat="1"/>
    <xf numFmtId="0" fontId="2" fillId="0" borderId="1" xfId="0" applyFont="1" applyBorder="1"/>
    <xf numFmtId="0" fontId="5" fillId="0" borderId="1" xfId="3" quotePrefix="1" applyBorder="1"/>
    <xf numFmtId="0" fontId="5" fillId="0" borderId="1" xfId="3" applyBorder="1"/>
    <xf numFmtId="0" fontId="0" fillId="0" borderId="1" xfId="0" applyBorder="1" applyAlignment="1">
      <alignment horizontal="left"/>
    </xf>
    <xf numFmtId="43" fontId="0" fillId="0" borderId="1" xfId="0" applyNumberFormat="1" applyBorder="1"/>
    <xf numFmtId="10" fontId="3" fillId="0" borderId="0" xfId="2" applyNumberFormat="1" applyFont="1"/>
    <xf numFmtId="10" fontId="0" fillId="4" borderId="0" xfId="0" applyNumberFormat="1" applyFill="1"/>
    <xf numFmtId="0" fontId="0" fillId="4" borderId="0" xfId="0" applyFill="1" applyAlignment="1">
      <alignment horizontal="right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Assignments/6.%20Ashiwini%20Mittal%20uncle's%20bid%20for%20work/1.%20F&amp;V%20Processing%20unit/F&amp;V%20Processing%20Unit%20Annexures%20-%20With%20Subsi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 1"/>
      <sheetName val="Ann 2"/>
      <sheetName val="Ann 3"/>
      <sheetName val="Ann 4"/>
      <sheetName val="Ann 5"/>
      <sheetName val="Ann 6"/>
      <sheetName val="Ann 7"/>
      <sheetName val="Ann 8"/>
      <sheetName val="Ann 9"/>
      <sheetName val="Ann 10"/>
      <sheetName val="Ann 11"/>
      <sheetName val="Ann 12"/>
      <sheetName val="Ann 13"/>
      <sheetName val="Budgets"/>
      <sheetName val="Assumptions"/>
      <sheetName val="For word file"/>
      <sheetName val="Sheet1"/>
    </sheetNames>
    <sheetDataSet>
      <sheetData sheetId="0"/>
      <sheetData sheetId="1">
        <row r="3">
          <cell r="A3" t="str">
            <v>Annexure 1 - Estimated cost of the project</v>
          </cell>
        </row>
      </sheetData>
      <sheetData sheetId="2">
        <row r="1">
          <cell r="A1" t="str">
            <v>Annexure 2 - Means of Finance</v>
          </cell>
        </row>
      </sheetData>
      <sheetData sheetId="3">
        <row r="1">
          <cell r="A1" t="str">
            <v>Annexure 3 - Complete Estimate of Civil and Plant and Machinery</v>
          </cell>
        </row>
      </sheetData>
      <sheetData sheetId="4">
        <row r="1">
          <cell r="A1" t="str">
            <v>Annexure 4 - Estimated Cost of Production</v>
          </cell>
        </row>
      </sheetData>
      <sheetData sheetId="5">
        <row r="1">
          <cell r="A1" t="str">
            <v>Annexure 5- Projected balance sheet</v>
          </cell>
        </row>
      </sheetData>
      <sheetData sheetId="6">
        <row r="1">
          <cell r="A1" t="str">
            <v>Annexure 6 - Requirement of Power and Fuel</v>
          </cell>
        </row>
      </sheetData>
      <sheetData sheetId="7">
        <row r="1">
          <cell r="A1" t="str">
            <v>Annexure 7 - Details of Mnpower (Technical)</v>
          </cell>
        </row>
      </sheetData>
      <sheetData sheetId="8">
        <row r="1">
          <cell r="A1" t="str">
            <v>Annexure 8 - Details of Mnpower (Administrative)</v>
          </cell>
        </row>
      </sheetData>
      <sheetData sheetId="9">
        <row r="1">
          <cell r="A1" t="str">
            <v>Annexure 9 - Computation of Depreciation</v>
          </cell>
        </row>
      </sheetData>
      <sheetData sheetId="10">
        <row r="1">
          <cell r="A1" t="str">
            <v>Annexure 10 - Calculation of Income tax</v>
          </cell>
        </row>
      </sheetData>
      <sheetData sheetId="11">
        <row r="1">
          <cell r="A1" t="str">
            <v>Annexure 11- Break even analysis (At maximum capacity utilization)</v>
          </cell>
        </row>
      </sheetData>
      <sheetData sheetId="12"/>
      <sheetData sheetId="13">
        <row r="1">
          <cell r="A1" t="str">
            <v>Annexure 13 - Repayment schedule</v>
          </cell>
        </row>
      </sheetData>
      <sheetData sheetId="14"/>
      <sheetData sheetId="15">
        <row r="1">
          <cell r="B1" t="str">
            <v>Assumptions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568DD-610E-4F46-9CF8-51AD6DB2DDE9}">
  <dimension ref="A1:B17"/>
  <sheetViews>
    <sheetView tabSelected="1" workbookViewId="0">
      <selection activeCell="B16" sqref="B16"/>
    </sheetView>
  </sheetViews>
  <sheetFormatPr defaultRowHeight="14.5" x14ac:dyDescent="0.35"/>
  <cols>
    <col min="1" max="1" width="57.90625" bestFit="1" customWidth="1"/>
    <col min="2" max="2" width="14.453125" bestFit="1" customWidth="1"/>
  </cols>
  <sheetData>
    <row r="1" spans="1:2" x14ac:dyDescent="0.35">
      <c r="A1" s="22" t="s">
        <v>256</v>
      </c>
    </row>
    <row r="3" spans="1:2" x14ac:dyDescent="0.35">
      <c r="A3" s="72" t="s">
        <v>257</v>
      </c>
      <c r="B3" s="72" t="s">
        <v>258</v>
      </c>
    </row>
    <row r="4" spans="1:2" x14ac:dyDescent="0.35">
      <c r="A4" s="12" t="str">
        <f>'[1]Ann 1'!A3</f>
        <v>Annexure 1 - Estimated cost of the project</v>
      </c>
      <c r="B4" s="73" t="s">
        <v>259</v>
      </c>
    </row>
    <row r="5" spans="1:2" x14ac:dyDescent="0.35">
      <c r="A5" s="12" t="str">
        <f>'[1]Ann 2'!A1</f>
        <v>Annexure 2 - Means of Finance</v>
      </c>
      <c r="B5" s="73" t="s">
        <v>260</v>
      </c>
    </row>
    <row r="6" spans="1:2" x14ac:dyDescent="0.35">
      <c r="A6" s="12" t="str">
        <f>'[1]Ann 3'!A1</f>
        <v>Annexure 3 - Complete Estimate of Civil and Plant and Machinery</v>
      </c>
      <c r="B6" s="73" t="s">
        <v>261</v>
      </c>
    </row>
    <row r="7" spans="1:2" x14ac:dyDescent="0.35">
      <c r="A7" s="12" t="str">
        <f>'[1]Ann 4'!A1</f>
        <v>Annexure 4 - Estimated Cost of Production</v>
      </c>
      <c r="B7" s="73" t="s">
        <v>262</v>
      </c>
    </row>
    <row r="8" spans="1:2" x14ac:dyDescent="0.35">
      <c r="A8" s="12" t="str">
        <f>'[1]Ann 5'!A1</f>
        <v>Annexure 5- Projected balance sheet</v>
      </c>
      <c r="B8" s="73" t="s">
        <v>263</v>
      </c>
    </row>
    <row r="9" spans="1:2" x14ac:dyDescent="0.35">
      <c r="A9" s="12" t="str">
        <f>'[1]Ann 6'!A1</f>
        <v>Annexure 6 - Requirement of Power and Fuel</v>
      </c>
      <c r="B9" s="73" t="s">
        <v>264</v>
      </c>
    </row>
    <row r="10" spans="1:2" x14ac:dyDescent="0.35">
      <c r="A10" s="12" t="str">
        <f>'[1]Ann 7'!A1</f>
        <v>Annexure 7 - Details of Mnpower (Technical)</v>
      </c>
      <c r="B10" s="73" t="s">
        <v>265</v>
      </c>
    </row>
    <row r="11" spans="1:2" x14ac:dyDescent="0.35">
      <c r="A11" s="12" t="str">
        <f>'[1]Ann 8'!A1</f>
        <v>Annexure 8 - Details of Mnpower (Administrative)</v>
      </c>
      <c r="B11" s="73" t="s">
        <v>266</v>
      </c>
    </row>
    <row r="12" spans="1:2" x14ac:dyDescent="0.35">
      <c r="A12" s="12" t="str">
        <f>'[1]Ann 9'!A1</f>
        <v>Annexure 9 - Computation of Depreciation</v>
      </c>
      <c r="B12" s="73" t="s">
        <v>267</v>
      </c>
    </row>
    <row r="13" spans="1:2" x14ac:dyDescent="0.35">
      <c r="A13" s="12" t="str">
        <f>'[1]Ann 10'!A1</f>
        <v>Annexure 10 - Calculation of Income tax</v>
      </c>
      <c r="B13" s="73" t="s">
        <v>268</v>
      </c>
    </row>
    <row r="14" spans="1:2" x14ac:dyDescent="0.35">
      <c r="A14" s="12" t="str">
        <f>'[1]Ann 11'!A1</f>
        <v>Annexure 11- Break even analysis (At maximum capacity utilization)</v>
      </c>
      <c r="B14" s="73" t="s">
        <v>269</v>
      </c>
    </row>
    <row r="15" spans="1:2" x14ac:dyDescent="0.35">
      <c r="A15" s="12" t="str">
        <f>'[1]Ann 13'!A1</f>
        <v>Annexure 13 - Repayment schedule</v>
      </c>
      <c r="B15" s="73" t="s">
        <v>270</v>
      </c>
    </row>
    <row r="16" spans="1:2" x14ac:dyDescent="0.35">
      <c r="A16" s="12" t="str">
        <f>'Cash flows'!A1</f>
        <v>Cash Flow operations</v>
      </c>
      <c r="B16" s="73" t="s">
        <v>277</v>
      </c>
    </row>
    <row r="17" spans="1:2" x14ac:dyDescent="0.35">
      <c r="A17" s="12" t="str">
        <f>[1]Assumptions!B1</f>
        <v>Assumptions</v>
      </c>
      <c r="B17" s="74" t="s">
        <v>271</v>
      </c>
    </row>
  </sheetData>
  <hyperlinks>
    <hyperlink ref="B4" location="'Ann 1'!A1" display="Ann 1'!A1" xr:uid="{A84F4632-62F4-44FA-AA6F-CC940A27671F}"/>
    <hyperlink ref="B5" location="'Ann 2'!A1" display="Ann 2'!A1" xr:uid="{27928AED-68B0-4D25-8E38-3F85494B7DB3}"/>
    <hyperlink ref="B6" location="'Ann 3'!A1" display="'Ann 3'!A1" xr:uid="{CAD1456A-56C0-4330-84F3-A8292268665D}"/>
    <hyperlink ref="B7" location="'Ann 5'!A1" display="Ann 4'!A1" xr:uid="{4AED46A8-0C1C-4565-8A5D-DEEB580C0AFF}"/>
    <hyperlink ref="B8" location="'Ann 6'!A1" display="Ann 5'!A1" xr:uid="{F96B6E55-0B7D-40AB-A61D-E9C1158E3446}"/>
    <hyperlink ref="B9" location="'Ann 6'!A1" display="'Ann 6'!A1" xr:uid="{734648D1-FEAD-4A95-A006-28EC939778D9}"/>
    <hyperlink ref="B10" location="'Ann 7'!A1" display="'Ann 7'!A1" xr:uid="{C5696190-331D-40B9-A5EA-B0CF8D6AC0F3}"/>
    <hyperlink ref="B11" location="'Ann 8'!A1" display="'Ann 8'!A1" xr:uid="{B60BCFCE-46ED-47E2-9E74-401C563B0E54}"/>
    <hyperlink ref="B12" location="'Ann 9'!A1" display="'Ann 9'!A1" xr:uid="{CD1141A8-DFA3-475F-8E6B-86510811D254}"/>
    <hyperlink ref="B13" location="'Ann 10'!A1" display="'Ann 10'!A1" xr:uid="{00667B26-90B1-4EFF-BA58-CA77F2080B37}"/>
    <hyperlink ref="B14" location="'Ann 11'!A1" display="'Ann 11'!A1" xr:uid="{0B065A31-3D4A-4333-8538-C2CC6B2154DC}"/>
    <hyperlink ref="B15" location="'Ann 13'!A1" display="'Ann 13'!A1" xr:uid="{D45C14E4-CB7D-4F1D-A0B5-5079B7F0CABE}"/>
    <hyperlink ref="B17" location="Assumptions!A1" display="Assumptions!A1" xr:uid="{0A712BA4-3452-478C-AA2D-BF5AB4DF35AB}"/>
    <hyperlink ref="B16" location="'Cash flows'!A1" display="'Cash flows'!A1" xr:uid="{25A4C310-E217-4438-8F72-04130C7065E6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239D-A793-4055-957C-367EF6B7112E}">
  <sheetPr>
    <pageSetUpPr fitToPage="1"/>
  </sheetPr>
  <dimension ref="A1:H27"/>
  <sheetViews>
    <sheetView topLeftCell="A7" workbookViewId="0">
      <selection activeCell="D26" sqref="D26"/>
    </sheetView>
  </sheetViews>
  <sheetFormatPr defaultRowHeight="14.5" x14ac:dyDescent="0.35"/>
  <cols>
    <col min="2" max="2" width="23.54296875" bestFit="1" customWidth="1"/>
    <col min="4" max="4" width="14.6328125" bestFit="1" customWidth="1"/>
    <col min="5" max="5" width="12.54296875" bestFit="1" customWidth="1"/>
    <col min="6" max="6" width="13.6328125" bestFit="1" customWidth="1"/>
    <col min="16" max="16" width="13.6328125" bestFit="1" customWidth="1"/>
    <col min="17" max="17" width="12.54296875" bestFit="1" customWidth="1"/>
  </cols>
  <sheetData>
    <row r="1" spans="1:8" x14ac:dyDescent="0.35">
      <c r="A1" s="22" t="s">
        <v>119</v>
      </c>
    </row>
    <row r="3" spans="1:8" x14ac:dyDescent="0.35">
      <c r="A3" s="3" t="s">
        <v>120</v>
      </c>
    </row>
    <row r="5" spans="1:8" x14ac:dyDescent="0.35">
      <c r="B5" t="s">
        <v>96</v>
      </c>
      <c r="F5" s="15">
        <f>'Ann 4'!C14/60%</f>
        <v>50217800</v>
      </c>
    </row>
    <row r="6" spans="1:8" x14ac:dyDescent="0.35">
      <c r="B6" t="s">
        <v>121</v>
      </c>
    </row>
    <row r="7" spans="1:8" x14ac:dyDescent="0.35">
      <c r="B7" s="23" t="s">
        <v>122</v>
      </c>
      <c r="E7" s="16">
        <f>550000*10%</f>
        <v>55000</v>
      </c>
      <c r="F7" s="16"/>
    </row>
    <row r="8" spans="1:8" x14ac:dyDescent="0.35">
      <c r="B8" s="23" t="s">
        <v>126</v>
      </c>
      <c r="E8" s="16">
        <f>'Ann 4'!K34</f>
        <v>306307.57500000001</v>
      </c>
      <c r="F8" s="16">
        <f>SUM(E7:E8)</f>
        <v>361307.57500000001</v>
      </c>
      <c r="H8" s="24"/>
    </row>
    <row r="9" spans="1:8" x14ac:dyDescent="0.35">
      <c r="B9" t="s">
        <v>123</v>
      </c>
      <c r="F9" s="16">
        <f>F5-F8</f>
        <v>49856492.424999997</v>
      </c>
    </row>
    <row r="10" spans="1:8" x14ac:dyDescent="0.35">
      <c r="B10" t="s">
        <v>124</v>
      </c>
    </row>
    <row r="11" spans="1:8" x14ac:dyDescent="0.35">
      <c r="B11" t="s">
        <v>125</v>
      </c>
      <c r="F11" s="16">
        <f>'Ann 8'!E12*20%</f>
        <v>305280</v>
      </c>
    </row>
    <row r="12" spans="1:8" x14ac:dyDescent="0.35">
      <c r="B12" t="s">
        <v>128</v>
      </c>
      <c r="F12" s="16">
        <v>90000</v>
      </c>
    </row>
    <row r="13" spans="1:8" x14ac:dyDescent="0.35">
      <c r="B13" t="s">
        <v>127</v>
      </c>
      <c r="F13" s="16">
        <f>SUM('Ann 9'!C13:D21)</f>
        <v>9778606.7340929992</v>
      </c>
    </row>
    <row r="14" spans="1:8" x14ac:dyDescent="0.35">
      <c r="B14" t="s">
        <v>130</v>
      </c>
      <c r="F14" s="16">
        <f>SUM(F11:F13)</f>
        <v>10173886.734092999</v>
      </c>
    </row>
    <row r="16" spans="1:8" x14ac:dyDescent="0.35">
      <c r="D16" t="s">
        <v>243</v>
      </c>
    </row>
    <row r="17" spans="2:5" x14ac:dyDescent="0.35">
      <c r="D17" t="s">
        <v>244</v>
      </c>
    </row>
    <row r="18" spans="2:5" x14ac:dyDescent="0.35">
      <c r="B18" t="s">
        <v>134</v>
      </c>
      <c r="D18">
        <v>8</v>
      </c>
      <c r="E18" s="30"/>
    </row>
    <row r="19" spans="2:5" x14ac:dyDescent="0.35">
      <c r="B19" s="23" t="s">
        <v>133</v>
      </c>
      <c r="D19" s="24">
        <f>E7/(5021.78*1000)</f>
        <v>1.095229181684582E-2</v>
      </c>
      <c r="E19" s="30"/>
    </row>
    <row r="20" spans="2:5" x14ac:dyDescent="0.35">
      <c r="B20" t="s">
        <v>132</v>
      </c>
      <c r="D20" s="24">
        <f>(E8-90000)/(5021*360)</f>
        <v>0.11966826827325235</v>
      </c>
      <c r="E20" s="30"/>
    </row>
    <row r="21" spans="2:5" x14ac:dyDescent="0.35">
      <c r="B21" t="s">
        <v>131</v>
      </c>
      <c r="D21" s="24">
        <f>D18-D19-D20</f>
        <v>7.8693794399099017</v>
      </c>
      <c r="E21" s="30"/>
    </row>
    <row r="23" spans="2:5" x14ac:dyDescent="0.35">
      <c r="B23" t="s">
        <v>129</v>
      </c>
      <c r="D23" s="16">
        <f>F14</f>
        <v>10173886.734092999</v>
      </c>
    </row>
    <row r="24" spans="2:5" x14ac:dyDescent="0.35">
      <c r="B24" t="s">
        <v>254</v>
      </c>
      <c r="D24" s="24">
        <f>D23/D21</f>
        <v>1292844.8566726479</v>
      </c>
    </row>
    <row r="26" spans="2:5" x14ac:dyDescent="0.35">
      <c r="B26" t="s">
        <v>255</v>
      </c>
      <c r="D26" s="45">
        <f>D24/(5021.78*360)</f>
        <v>0.71513202748419435</v>
      </c>
    </row>
    <row r="27" spans="2:5" x14ac:dyDescent="0.35">
      <c r="D27" s="4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098D-FBA0-4F7E-BF3C-624224F47C27}">
  <dimension ref="A1:K7"/>
  <sheetViews>
    <sheetView workbookViewId="0">
      <selection activeCell="A8" sqref="A8"/>
    </sheetView>
  </sheetViews>
  <sheetFormatPr defaultRowHeight="14.5" x14ac:dyDescent="0.35"/>
  <sheetData>
    <row r="1" spans="1:11" x14ac:dyDescent="0.35">
      <c r="A1" t="s">
        <v>135</v>
      </c>
    </row>
    <row r="3" spans="1:11" x14ac:dyDescent="0.35">
      <c r="C3" s="86" t="s">
        <v>136</v>
      </c>
      <c r="D3" s="86"/>
      <c r="E3" s="86"/>
      <c r="F3" s="86"/>
      <c r="G3" s="86"/>
      <c r="H3" s="86"/>
      <c r="I3" s="86"/>
      <c r="J3" s="86"/>
      <c r="K3" s="86"/>
    </row>
    <row r="4" spans="1:11" x14ac:dyDescent="0.35"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</row>
    <row r="5" spans="1:11" x14ac:dyDescent="0.35">
      <c r="A5" t="s">
        <v>137</v>
      </c>
      <c r="C5" t="e">
        <f>'Ann 4'!#REF!</f>
        <v>#REF!</v>
      </c>
      <c r="D5" t="e">
        <f>'Ann 4'!#REF!</f>
        <v>#REF!</v>
      </c>
      <c r="E5" t="e">
        <f>'Ann 4'!#REF!</f>
        <v>#REF!</v>
      </c>
      <c r="F5" t="e">
        <f>'Ann 4'!#REF!</f>
        <v>#REF!</v>
      </c>
      <c r="G5" t="e">
        <f>'Ann 4'!#REF!</f>
        <v>#REF!</v>
      </c>
      <c r="H5" t="e">
        <f>'Ann 4'!#REF!</f>
        <v>#REF!</v>
      </c>
      <c r="I5" t="e">
        <f>'Ann 4'!#REF!</f>
        <v>#REF!</v>
      </c>
      <c r="J5" t="e">
        <f>'Ann 4'!#REF!</f>
        <v>#REF!</v>
      </c>
      <c r="K5" t="e">
        <f>'Ann 4'!#REF!</f>
        <v>#REF!</v>
      </c>
    </row>
    <row r="6" spans="1:11" x14ac:dyDescent="0.35">
      <c r="A6" t="s">
        <v>138</v>
      </c>
      <c r="C6" t="e">
        <f>'Ann 4'!#REF!</f>
        <v>#REF!</v>
      </c>
      <c r="D6" t="e">
        <f>'Ann 4'!#REF!</f>
        <v>#REF!</v>
      </c>
      <c r="E6" t="e">
        <f>'Ann 4'!#REF!</f>
        <v>#REF!</v>
      </c>
      <c r="F6" t="e">
        <f>'Ann 4'!#REF!</f>
        <v>#REF!</v>
      </c>
      <c r="G6" t="e">
        <f>'Ann 4'!#REF!</f>
        <v>#REF!</v>
      </c>
      <c r="H6" t="e">
        <f>'Ann 4'!#REF!</f>
        <v>#REF!</v>
      </c>
      <c r="I6" t="e">
        <f>'Ann 4'!#REF!</f>
        <v>#REF!</v>
      </c>
      <c r="J6" t="e">
        <f>'Ann 4'!#REF!</f>
        <v>#REF!</v>
      </c>
      <c r="K6" t="e">
        <f>'Ann 4'!#REF!</f>
        <v>#REF!</v>
      </c>
    </row>
    <row r="7" spans="1:11" x14ac:dyDescent="0.35">
      <c r="A7" t="s">
        <v>139</v>
      </c>
    </row>
  </sheetData>
  <mergeCells count="1">
    <mergeCell ref="C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F0C2-594D-4936-9810-7D289B91BEE1}">
  <dimension ref="A1:G40"/>
  <sheetViews>
    <sheetView topLeftCell="A26" workbookViewId="0">
      <selection activeCell="A40" sqref="A40:E40"/>
    </sheetView>
  </sheetViews>
  <sheetFormatPr defaultRowHeight="14.5" x14ac:dyDescent="0.35"/>
  <cols>
    <col min="1" max="1" width="4.54296875" bestFit="1" customWidth="1"/>
    <col min="2" max="2" width="7.36328125" bestFit="1" customWidth="1"/>
    <col min="3" max="3" width="17.81640625" bestFit="1" customWidth="1"/>
    <col min="4" max="4" width="17.36328125" bestFit="1" customWidth="1"/>
    <col min="5" max="5" width="7.26953125" bestFit="1" customWidth="1"/>
  </cols>
  <sheetData>
    <row r="1" spans="1:7" x14ac:dyDescent="0.35">
      <c r="A1" s="22" t="s">
        <v>145</v>
      </c>
    </row>
    <row r="3" spans="1:7" x14ac:dyDescent="0.35">
      <c r="A3" s="3" t="s">
        <v>146</v>
      </c>
    </row>
    <row r="4" spans="1:7" x14ac:dyDescent="0.35">
      <c r="A4" t="s">
        <v>147</v>
      </c>
      <c r="D4" s="2">
        <f>'Ann 2'!C6</f>
        <v>143.13</v>
      </c>
    </row>
    <row r="5" spans="1:7" x14ac:dyDescent="0.35">
      <c r="A5" t="s">
        <v>281</v>
      </c>
      <c r="D5" s="2">
        <f>20%*'Ann 1'!C34</f>
        <v>33</v>
      </c>
    </row>
    <row r="6" spans="1:7" x14ac:dyDescent="0.35">
      <c r="A6" t="s">
        <v>148</v>
      </c>
      <c r="D6" s="78">
        <v>0.06</v>
      </c>
    </row>
    <row r="7" spans="1:7" x14ac:dyDescent="0.35">
      <c r="A7" t="s">
        <v>149</v>
      </c>
      <c r="D7" s="79" t="s">
        <v>212</v>
      </c>
    </row>
    <row r="9" spans="1:7" x14ac:dyDescent="0.35">
      <c r="A9" s="34" t="s">
        <v>118</v>
      </c>
      <c r="B9" s="34" t="s">
        <v>150</v>
      </c>
      <c r="C9" s="34" t="s">
        <v>151</v>
      </c>
      <c r="D9" s="34" t="s">
        <v>153</v>
      </c>
      <c r="E9" s="34" t="s">
        <v>152</v>
      </c>
    </row>
    <row r="10" spans="1:7" x14ac:dyDescent="0.35">
      <c r="A10" s="88">
        <v>1</v>
      </c>
      <c r="B10" s="12">
        <v>1</v>
      </c>
      <c r="C10" s="68">
        <f>$D$4</f>
        <v>143.13</v>
      </c>
      <c r="D10" s="12">
        <v>0</v>
      </c>
      <c r="E10" s="12">
        <f>C10*$D$6/4</f>
        <v>2.1469499999999999</v>
      </c>
    </row>
    <row r="11" spans="1:7" x14ac:dyDescent="0.35">
      <c r="A11" s="88"/>
      <c r="B11" s="12">
        <v>2</v>
      </c>
      <c r="C11" s="68">
        <f>$D$4</f>
        <v>143.13</v>
      </c>
      <c r="D11" s="12">
        <v>0</v>
      </c>
      <c r="E11" s="12">
        <f>C11*$D$6/4</f>
        <v>2.1469499999999999</v>
      </c>
      <c r="G11" s="42">
        <f>230/24</f>
        <v>9.5833333333333339</v>
      </c>
    </row>
    <row r="12" spans="1:7" x14ac:dyDescent="0.35">
      <c r="A12" s="88"/>
      <c r="B12" s="12">
        <v>3</v>
      </c>
      <c r="C12" s="68">
        <f>$D$4</f>
        <v>143.13</v>
      </c>
      <c r="D12" s="12">
        <v>5.5</v>
      </c>
      <c r="E12" s="12">
        <f>C12*$D$6/4</f>
        <v>2.1469499999999999</v>
      </c>
    </row>
    <row r="13" spans="1:7" x14ac:dyDescent="0.35">
      <c r="A13" s="88"/>
      <c r="B13" s="12">
        <v>4</v>
      </c>
      <c r="C13" s="12">
        <f t="shared" ref="C13:C18" si="0">C12-D12</f>
        <v>137.63</v>
      </c>
      <c r="D13" s="12">
        <f>D12</f>
        <v>5.5</v>
      </c>
      <c r="E13" s="12">
        <f>C13*$D$6/4</f>
        <v>2.0644499999999999</v>
      </c>
    </row>
    <row r="14" spans="1:7" x14ac:dyDescent="0.35">
      <c r="A14" s="88">
        <v>2</v>
      </c>
      <c r="B14" s="12">
        <v>1</v>
      </c>
      <c r="C14" s="12">
        <f t="shared" si="0"/>
        <v>132.13</v>
      </c>
      <c r="D14" s="12">
        <f t="shared" ref="D14:D36" si="1">D13</f>
        <v>5.5</v>
      </c>
      <c r="E14" s="12">
        <f>C14*$D$6/4</f>
        <v>1.9819499999999999</v>
      </c>
    </row>
    <row r="15" spans="1:7" x14ac:dyDescent="0.35">
      <c r="A15" s="88"/>
      <c r="B15" s="12">
        <v>2</v>
      </c>
      <c r="C15" s="12">
        <f t="shared" si="0"/>
        <v>126.63</v>
      </c>
      <c r="D15" s="12">
        <f t="shared" si="1"/>
        <v>5.5</v>
      </c>
      <c r="E15" s="12">
        <f t="shared" ref="E15:E37" si="2">C15*$D$6/4</f>
        <v>1.8994499999999999</v>
      </c>
    </row>
    <row r="16" spans="1:7" x14ac:dyDescent="0.35">
      <c r="A16" s="88"/>
      <c r="B16" s="12">
        <v>3</v>
      </c>
      <c r="C16" s="12">
        <f t="shared" si="0"/>
        <v>121.13</v>
      </c>
      <c r="D16" s="12">
        <f t="shared" si="1"/>
        <v>5.5</v>
      </c>
      <c r="E16" s="12">
        <f t="shared" si="2"/>
        <v>1.8169499999999998</v>
      </c>
    </row>
    <row r="17" spans="1:5" x14ac:dyDescent="0.35">
      <c r="A17" s="88"/>
      <c r="B17" s="12">
        <v>4</v>
      </c>
      <c r="C17" s="12">
        <f t="shared" si="0"/>
        <v>115.63</v>
      </c>
      <c r="D17" s="12">
        <f t="shared" si="1"/>
        <v>5.5</v>
      </c>
      <c r="E17" s="12">
        <f t="shared" si="2"/>
        <v>1.7344499999999998</v>
      </c>
    </row>
    <row r="18" spans="1:5" x14ac:dyDescent="0.35">
      <c r="A18" s="88">
        <v>3</v>
      </c>
      <c r="B18" s="12">
        <v>1</v>
      </c>
      <c r="C18" s="12">
        <f t="shared" si="0"/>
        <v>110.13</v>
      </c>
      <c r="D18" s="12">
        <f t="shared" si="1"/>
        <v>5.5</v>
      </c>
      <c r="E18" s="12">
        <f t="shared" si="2"/>
        <v>1.6519499999999998</v>
      </c>
    </row>
    <row r="19" spans="1:5" x14ac:dyDescent="0.35">
      <c r="A19" s="88"/>
      <c r="B19" s="12">
        <v>2</v>
      </c>
      <c r="C19" s="12">
        <f t="shared" ref="C19:C37" si="3">C18-D18</f>
        <v>104.63</v>
      </c>
      <c r="D19" s="12">
        <f t="shared" si="1"/>
        <v>5.5</v>
      </c>
      <c r="E19" s="12">
        <f t="shared" si="2"/>
        <v>1.5694499999999998</v>
      </c>
    </row>
    <row r="20" spans="1:5" x14ac:dyDescent="0.35">
      <c r="A20" s="88"/>
      <c r="B20" s="12">
        <v>3</v>
      </c>
      <c r="C20" s="12">
        <f t="shared" si="3"/>
        <v>99.13</v>
      </c>
      <c r="D20" s="12">
        <f t="shared" si="1"/>
        <v>5.5</v>
      </c>
      <c r="E20" s="12">
        <f t="shared" si="2"/>
        <v>1.4869499999999998</v>
      </c>
    </row>
    <row r="21" spans="1:5" x14ac:dyDescent="0.35">
      <c r="A21" s="88"/>
      <c r="B21" s="12">
        <v>4</v>
      </c>
      <c r="C21" s="12">
        <f t="shared" si="3"/>
        <v>93.63</v>
      </c>
      <c r="D21" s="12">
        <f t="shared" si="1"/>
        <v>5.5</v>
      </c>
      <c r="E21" s="12">
        <f t="shared" si="2"/>
        <v>1.40445</v>
      </c>
    </row>
    <row r="22" spans="1:5" x14ac:dyDescent="0.35">
      <c r="A22" s="88">
        <v>4</v>
      </c>
      <c r="B22" s="12">
        <v>1</v>
      </c>
      <c r="C22" s="12">
        <f t="shared" si="3"/>
        <v>88.13</v>
      </c>
      <c r="D22" s="12">
        <f t="shared" si="1"/>
        <v>5.5</v>
      </c>
      <c r="E22" s="12">
        <f t="shared" si="2"/>
        <v>1.32195</v>
      </c>
    </row>
    <row r="23" spans="1:5" x14ac:dyDescent="0.35">
      <c r="A23" s="88"/>
      <c r="B23" s="12">
        <v>2</v>
      </c>
      <c r="C23" s="12">
        <f t="shared" si="3"/>
        <v>82.63</v>
      </c>
      <c r="D23" s="12">
        <f t="shared" si="1"/>
        <v>5.5</v>
      </c>
      <c r="E23" s="12">
        <f t="shared" si="2"/>
        <v>1.2394499999999999</v>
      </c>
    </row>
    <row r="24" spans="1:5" x14ac:dyDescent="0.35">
      <c r="A24" s="88"/>
      <c r="B24" s="12">
        <v>3</v>
      </c>
      <c r="C24" s="12">
        <f t="shared" si="3"/>
        <v>77.13</v>
      </c>
      <c r="D24" s="12">
        <f t="shared" si="1"/>
        <v>5.5</v>
      </c>
      <c r="E24" s="12">
        <f t="shared" si="2"/>
        <v>1.1569499999999999</v>
      </c>
    </row>
    <row r="25" spans="1:5" x14ac:dyDescent="0.35">
      <c r="A25" s="88"/>
      <c r="B25" s="12">
        <v>4</v>
      </c>
      <c r="C25" s="12">
        <f t="shared" si="3"/>
        <v>71.63</v>
      </c>
      <c r="D25" s="12">
        <f t="shared" si="1"/>
        <v>5.5</v>
      </c>
      <c r="E25" s="12">
        <f t="shared" si="2"/>
        <v>1.0744499999999999</v>
      </c>
    </row>
    <row r="26" spans="1:5" x14ac:dyDescent="0.35">
      <c r="A26" s="88">
        <v>5</v>
      </c>
      <c r="B26" s="12">
        <v>1</v>
      </c>
      <c r="C26" s="12">
        <f t="shared" si="3"/>
        <v>66.13</v>
      </c>
      <c r="D26" s="12">
        <f t="shared" si="1"/>
        <v>5.5</v>
      </c>
      <c r="E26" s="12">
        <f t="shared" si="2"/>
        <v>0.99194999999999989</v>
      </c>
    </row>
    <row r="27" spans="1:5" x14ac:dyDescent="0.35">
      <c r="A27" s="88"/>
      <c r="B27" s="12">
        <v>2</v>
      </c>
      <c r="C27" s="12">
        <f t="shared" si="3"/>
        <v>60.629999999999995</v>
      </c>
      <c r="D27" s="12">
        <f t="shared" si="1"/>
        <v>5.5</v>
      </c>
      <c r="E27" s="12">
        <f t="shared" si="2"/>
        <v>0.90944999999999987</v>
      </c>
    </row>
    <row r="28" spans="1:5" x14ac:dyDescent="0.35">
      <c r="A28" s="88"/>
      <c r="B28" s="12">
        <v>3</v>
      </c>
      <c r="C28" s="12">
        <f t="shared" si="3"/>
        <v>55.129999999999995</v>
      </c>
      <c r="D28" s="12">
        <f t="shared" si="1"/>
        <v>5.5</v>
      </c>
      <c r="E28" s="12">
        <f t="shared" si="2"/>
        <v>0.82694999999999985</v>
      </c>
    </row>
    <row r="29" spans="1:5" x14ac:dyDescent="0.35">
      <c r="A29" s="88"/>
      <c r="B29" s="12">
        <v>4</v>
      </c>
      <c r="C29" s="12">
        <f t="shared" si="3"/>
        <v>49.629999999999995</v>
      </c>
      <c r="D29" s="12">
        <f t="shared" si="1"/>
        <v>5.5</v>
      </c>
      <c r="E29" s="12">
        <f t="shared" si="2"/>
        <v>0.74444999999999995</v>
      </c>
    </row>
    <row r="30" spans="1:5" x14ac:dyDescent="0.35">
      <c r="A30" s="88">
        <v>6</v>
      </c>
      <c r="B30" s="12">
        <v>1</v>
      </c>
      <c r="C30" s="12">
        <f t="shared" si="3"/>
        <v>44.129999999999995</v>
      </c>
      <c r="D30" s="12">
        <f t="shared" si="1"/>
        <v>5.5</v>
      </c>
      <c r="E30" s="12">
        <f t="shared" si="2"/>
        <v>0.66194999999999993</v>
      </c>
    </row>
    <row r="31" spans="1:5" x14ac:dyDescent="0.35">
      <c r="A31" s="88"/>
      <c r="B31" s="12">
        <v>2</v>
      </c>
      <c r="C31" s="12">
        <f t="shared" si="3"/>
        <v>38.629999999999995</v>
      </c>
      <c r="D31" s="12">
        <f t="shared" si="1"/>
        <v>5.5</v>
      </c>
      <c r="E31" s="12">
        <f t="shared" si="2"/>
        <v>0.57944999999999991</v>
      </c>
    </row>
    <row r="32" spans="1:5" x14ac:dyDescent="0.35">
      <c r="A32" s="88"/>
      <c r="B32" s="12">
        <v>3</v>
      </c>
      <c r="C32" s="12">
        <f t="shared" si="3"/>
        <v>33.129999999999995</v>
      </c>
      <c r="D32" s="12">
        <v>0.13</v>
      </c>
      <c r="E32" s="12">
        <f t="shared" si="2"/>
        <v>0.49694999999999989</v>
      </c>
    </row>
    <row r="33" spans="1:6" x14ac:dyDescent="0.35">
      <c r="A33" s="88"/>
      <c r="B33" s="12">
        <v>4</v>
      </c>
      <c r="C33" s="12">
        <f t="shared" si="3"/>
        <v>32.999999999999993</v>
      </c>
      <c r="D33" s="12">
        <v>0</v>
      </c>
      <c r="E33" s="12">
        <v>0</v>
      </c>
      <c r="F33" t="s">
        <v>282</v>
      </c>
    </row>
    <row r="34" spans="1:6" x14ac:dyDescent="0.35">
      <c r="A34" s="88">
        <v>7</v>
      </c>
      <c r="B34" s="12">
        <v>1</v>
      </c>
      <c r="C34" s="12">
        <v>0</v>
      </c>
      <c r="D34" s="12">
        <f t="shared" si="1"/>
        <v>0</v>
      </c>
      <c r="E34" s="12">
        <f t="shared" si="2"/>
        <v>0</v>
      </c>
    </row>
    <row r="35" spans="1:6" x14ac:dyDescent="0.35">
      <c r="A35" s="88"/>
      <c r="B35" s="12">
        <v>2</v>
      </c>
      <c r="C35" s="12">
        <f t="shared" si="3"/>
        <v>0</v>
      </c>
      <c r="D35" s="12">
        <f t="shared" si="1"/>
        <v>0</v>
      </c>
      <c r="E35" s="12">
        <f t="shared" si="2"/>
        <v>0</v>
      </c>
    </row>
    <row r="36" spans="1:6" x14ac:dyDescent="0.35">
      <c r="A36" s="88"/>
      <c r="B36" s="12">
        <v>3</v>
      </c>
      <c r="C36" s="12">
        <f t="shared" si="3"/>
        <v>0</v>
      </c>
      <c r="D36" s="12">
        <f t="shared" si="1"/>
        <v>0</v>
      </c>
      <c r="E36" s="12">
        <f t="shared" si="2"/>
        <v>0</v>
      </c>
    </row>
    <row r="37" spans="1:6" x14ac:dyDescent="0.35">
      <c r="A37" s="88"/>
      <c r="B37" s="12">
        <v>4</v>
      </c>
      <c r="C37" s="12">
        <f t="shared" si="3"/>
        <v>0</v>
      </c>
      <c r="D37" s="68">
        <v>0</v>
      </c>
      <c r="E37" s="12">
        <f t="shared" si="2"/>
        <v>0</v>
      </c>
    </row>
    <row r="39" spans="1:6" ht="44.5" customHeight="1" x14ac:dyDescent="0.35">
      <c r="A39" s="87" t="s">
        <v>286</v>
      </c>
      <c r="B39" s="87"/>
      <c r="C39" s="87"/>
      <c r="D39" s="87"/>
      <c r="E39" s="87"/>
    </row>
    <row r="40" spans="1:6" ht="47.5" customHeight="1" x14ac:dyDescent="0.35">
      <c r="A40" s="87" t="s">
        <v>283</v>
      </c>
      <c r="B40" s="87"/>
      <c r="C40" s="87"/>
      <c r="D40" s="87"/>
      <c r="E40" s="87"/>
    </row>
  </sheetData>
  <mergeCells count="9">
    <mergeCell ref="A39:E39"/>
    <mergeCell ref="A40:E40"/>
    <mergeCell ref="A34:A37"/>
    <mergeCell ref="A10:A13"/>
    <mergeCell ref="A14:A17"/>
    <mergeCell ref="A18:A21"/>
    <mergeCell ref="A22:A25"/>
    <mergeCell ref="A26:A29"/>
    <mergeCell ref="A30:A3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E53A9-9792-4546-A721-77792F6E5EDB}">
  <dimension ref="A2:J8"/>
  <sheetViews>
    <sheetView workbookViewId="0">
      <selection activeCell="B3" sqref="B3:H8"/>
    </sheetView>
  </sheetViews>
  <sheetFormatPr defaultRowHeight="14.5" x14ac:dyDescent="0.35"/>
  <sheetData>
    <row r="2" spans="1:10" x14ac:dyDescent="0.35">
      <c r="B2" t="s">
        <v>85</v>
      </c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</row>
    <row r="3" spans="1:10" x14ac:dyDescent="0.35">
      <c r="A3" t="s">
        <v>236</v>
      </c>
      <c r="B3" s="2">
        <f>'Ann 4'!C14/100000</f>
        <v>301.30680000000001</v>
      </c>
      <c r="C3" s="2">
        <f>'Ann 4'!D14/100000</f>
        <v>339.07058559999996</v>
      </c>
      <c r="D3" s="2">
        <f>'Ann 4'!E14/100000</f>
        <v>380.0769345459999</v>
      </c>
      <c r="E3" s="2">
        <f>'Ann 4'!F14/100000</f>
        <v>424.56829335461987</v>
      </c>
      <c r="F3" s="2">
        <f>'Ann 4'!G14/100000</f>
        <v>472.80396890518637</v>
      </c>
      <c r="G3" s="2">
        <f>'Ann 4'!H14/100000</f>
        <v>525.06124967891742</v>
      </c>
      <c r="H3" s="2">
        <f>'Ann 4'!I14/100000</f>
        <v>553.93961841125781</v>
      </c>
      <c r="I3" s="2">
        <f>'Ann 4'!J14/100000</f>
        <v>584.40629742387705</v>
      </c>
      <c r="J3" s="2">
        <f>'Ann 4'!K14/100000</f>
        <v>616.5486437821902</v>
      </c>
    </row>
    <row r="4" spans="1:10" x14ac:dyDescent="0.35">
      <c r="A4" t="s">
        <v>237</v>
      </c>
      <c r="B4" s="2">
        <f>'Ann 4'!C13/100000</f>
        <v>18.02</v>
      </c>
      <c r="C4" s="2">
        <f>'Ann 4'!D13/100000</f>
        <v>18.943200000000001</v>
      </c>
      <c r="D4" s="2">
        <f>'Ann 4'!E13/100000</f>
        <v>19.918992000000003</v>
      </c>
      <c r="E4" s="2">
        <f>'Ann 4'!F13/100000</f>
        <v>20.950439520000003</v>
      </c>
      <c r="F4" s="2">
        <f>'Ann 4'!G13/100000</f>
        <v>22.0407862512</v>
      </c>
      <c r="G4" s="2">
        <f>'Ann 4'!H13/100000</f>
        <v>23.193466703472001</v>
      </c>
      <c r="H4" s="2">
        <f>'Ann 4'!I13/100000</f>
        <v>24.258963696424328</v>
      </c>
      <c r="I4" s="2">
        <f>'Ann 4'!J13/100000</f>
        <v>25.386623979668663</v>
      </c>
      <c r="J4" s="2">
        <f>'Ann 4'!K13/100000</f>
        <v>26.580142020036849</v>
      </c>
    </row>
    <row r="5" spans="1:10" x14ac:dyDescent="0.35">
      <c r="A5" t="s">
        <v>238</v>
      </c>
      <c r="B5" s="2">
        <f>B3-B4</f>
        <v>283.28680000000003</v>
      </c>
      <c r="C5" s="2">
        <f t="shared" ref="C5:J5" si="0">C3-C4</f>
        <v>320.12738559999997</v>
      </c>
      <c r="D5" s="2">
        <f t="shared" si="0"/>
        <v>360.1579425459999</v>
      </c>
      <c r="E5" s="2">
        <f t="shared" si="0"/>
        <v>403.61785383461984</v>
      </c>
      <c r="F5" s="2">
        <f t="shared" si="0"/>
        <v>450.76318265398635</v>
      </c>
      <c r="G5" s="2">
        <f t="shared" si="0"/>
        <v>501.86778297544544</v>
      </c>
      <c r="H5" s="2">
        <f t="shared" si="0"/>
        <v>529.68065471483351</v>
      </c>
      <c r="I5" s="2">
        <f t="shared" si="0"/>
        <v>559.01967344420837</v>
      </c>
      <c r="J5" s="2">
        <f t="shared" si="0"/>
        <v>589.96850176215332</v>
      </c>
    </row>
    <row r="6" spans="1:10" x14ac:dyDescent="0.35">
      <c r="A6" t="s">
        <v>239</v>
      </c>
      <c r="B6" s="2">
        <f>B5</f>
        <v>283.28680000000003</v>
      </c>
      <c r="C6" s="2">
        <f t="shared" ref="C6:J6" si="1">C5</f>
        <v>320.12738559999997</v>
      </c>
      <c r="D6" s="2">
        <f t="shared" si="1"/>
        <v>360.1579425459999</v>
      </c>
      <c r="E6" s="2">
        <f t="shared" si="1"/>
        <v>403.61785383461984</v>
      </c>
      <c r="F6" s="2">
        <f t="shared" si="1"/>
        <v>450.76318265398635</v>
      </c>
      <c r="G6" s="2">
        <f t="shared" si="1"/>
        <v>501.86778297544544</v>
      </c>
      <c r="H6" s="2">
        <f t="shared" si="1"/>
        <v>529.68065471483351</v>
      </c>
      <c r="I6" s="2">
        <f t="shared" si="1"/>
        <v>559.01967344420837</v>
      </c>
      <c r="J6" s="2">
        <f t="shared" si="1"/>
        <v>589.96850176215332</v>
      </c>
    </row>
    <row r="7" spans="1:10" x14ac:dyDescent="0.35">
      <c r="A7" t="s">
        <v>240</v>
      </c>
      <c r="B7" s="71">
        <f>'Ann 4'!C25/100000</f>
        <v>258.28149999999999</v>
      </c>
      <c r="C7" s="71">
        <f>'Ann 4'!D25/100000</f>
        <v>297.79088559999997</v>
      </c>
      <c r="D7" s="71">
        <f>'Ann 4'!E25/100000</f>
        <v>340.57811254599989</v>
      </c>
      <c r="E7" s="71">
        <f>'Ann 4'!F25/100000</f>
        <v>386.65102683461987</v>
      </c>
      <c r="F7" s="71">
        <f>'Ann 4'!G25/100000</f>
        <v>436.28005835398636</v>
      </c>
      <c r="G7" s="71">
        <f>'Ann 4'!H25/100000</f>
        <v>523.16644110544553</v>
      </c>
      <c r="H7" s="71">
        <f>'Ann 4'!I25/100000</f>
        <v>520.66026203183355</v>
      </c>
      <c r="I7" s="71">
        <f>'Ann 4'!J25/100000</f>
        <v>550.84762002950833</v>
      </c>
      <c r="J7" s="71">
        <f>'Ann 4'!K25/100000</f>
        <v>582.55995368892331</v>
      </c>
    </row>
    <row r="8" spans="1:10" x14ac:dyDescent="0.35">
      <c r="A8" t="s">
        <v>241</v>
      </c>
      <c r="B8" s="71">
        <f>'Ann 4'!C27/100000</f>
        <v>180.79705000000001</v>
      </c>
      <c r="C8" s="71">
        <f>'Ann 4'!D27/100000</f>
        <v>208.45361991999999</v>
      </c>
      <c r="D8" s="71">
        <f>'Ann 4'!E27/100000</f>
        <v>238.40467878219991</v>
      </c>
      <c r="E8" s="71">
        <f>'Ann 4'!F27/100000</f>
        <v>270.65571878423395</v>
      </c>
      <c r="F8" s="71">
        <f>'Ann 4'!G27/100000</f>
        <v>305.39604084779046</v>
      </c>
      <c r="G8" s="71">
        <f>'Ann 4'!H27/100000</f>
        <v>376.11650877381186</v>
      </c>
      <c r="H8" s="71">
        <f>'Ann 4'!I27/100000</f>
        <v>364.46218342228343</v>
      </c>
      <c r="I8" s="71">
        <f>'Ann 4'!J27/100000</f>
        <v>385.59333402065585</v>
      </c>
      <c r="J8" s="71">
        <f>'Ann 4'!K27/100000</f>
        <v>407.79196758224634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1C3B-78D2-43F9-ABE8-F6A84BAA4AE1}">
  <sheetPr>
    <pageSetUpPr fitToPage="1"/>
  </sheetPr>
  <dimension ref="A1:K27"/>
  <sheetViews>
    <sheetView workbookViewId="0">
      <selection activeCell="D15" sqref="D15"/>
    </sheetView>
  </sheetViews>
  <sheetFormatPr defaultRowHeight="14.5" x14ac:dyDescent="0.35"/>
  <cols>
    <col min="1" max="1" width="41.1796875" bestFit="1" customWidth="1"/>
    <col min="2" max="10" width="11.90625" bestFit="1" customWidth="1"/>
    <col min="11" max="11" width="10.81640625" bestFit="1" customWidth="1"/>
  </cols>
  <sheetData>
    <row r="1" spans="1:10" x14ac:dyDescent="0.35">
      <c r="A1" s="22" t="s">
        <v>222</v>
      </c>
    </row>
    <row r="2" spans="1:10" x14ac:dyDescent="0.35">
      <c r="A2" s="22"/>
    </row>
    <row r="3" spans="1:10" x14ac:dyDescent="0.35">
      <c r="A3" s="34" t="s">
        <v>3</v>
      </c>
      <c r="B3" s="34" t="s">
        <v>85</v>
      </c>
      <c r="C3" s="34" t="s">
        <v>86</v>
      </c>
      <c r="D3" s="34" t="s">
        <v>87</v>
      </c>
      <c r="E3" s="34" t="s">
        <v>88</v>
      </c>
      <c r="F3" s="34" t="s">
        <v>89</v>
      </c>
      <c r="G3" s="34" t="s">
        <v>90</v>
      </c>
      <c r="H3" s="34" t="s">
        <v>91</v>
      </c>
      <c r="I3" s="34" t="s">
        <v>92</v>
      </c>
      <c r="J3" s="34" t="s">
        <v>93</v>
      </c>
    </row>
    <row r="4" spans="1:10" x14ac:dyDescent="0.35">
      <c r="A4" s="12" t="s">
        <v>234</v>
      </c>
      <c r="B4" s="76">
        <f>'Ann 2'!C7*100000</f>
        <v>537000</v>
      </c>
      <c r="C4" s="12">
        <f>B16</f>
        <v>2171684.3333333321</v>
      </c>
      <c r="D4" s="12">
        <f t="shared" ref="D4:J4" si="0">C16</f>
        <v>5263395.1850666683</v>
      </c>
      <c r="E4" s="12">
        <f t="shared" si="0"/>
        <v>8783452.186160665</v>
      </c>
      <c r="F4" s="12">
        <f t="shared" si="0"/>
        <v>12790201.538440183</v>
      </c>
      <c r="G4" s="12">
        <f t="shared" si="0"/>
        <v>17344198.294474598</v>
      </c>
      <c r="H4" s="12">
        <f t="shared" si="0"/>
        <v>20961371.938609738</v>
      </c>
      <c r="I4" s="12">
        <f t="shared" si="0"/>
        <v>28859037.856454693</v>
      </c>
      <c r="J4" s="12">
        <f t="shared" si="0"/>
        <v>37081271.661512181</v>
      </c>
    </row>
    <row r="5" spans="1:10" x14ac:dyDescent="0.35">
      <c r="A5" s="12" t="s">
        <v>223</v>
      </c>
      <c r="B5" s="12">
        <f>'Ann 4'!C14-'Ann 5'!C12</f>
        <v>27619790</v>
      </c>
      <c r="C5" s="12">
        <f>'Ann 4'!D14-'Ann 5'!D12</f>
        <v>31081470.346666664</v>
      </c>
      <c r="D5" s="12">
        <f>'Ann 4'!E14-'Ann 5'!E12</f>
        <v>34840385.666716658</v>
      </c>
      <c r="E5" s="12">
        <f>'Ann 4'!F14-'Ann 5'!F12</f>
        <v>38918760.224173486</v>
      </c>
      <c r="F5" s="12">
        <f>'Ann 4'!G14-'Ann 5'!G12</f>
        <v>43340363.816308752</v>
      </c>
      <c r="G5" s="12">
        <f>'Ann 4'!H14-'Ann 5'!H12</f>
        <v>48130614.553900763</v>
      </c>
      <c r="H5" s="12">
        <f>'Ann 4'!I14-'Ann 5'!I12</f>
        <v>50777798.354365304</v>
      </c>
      <c r="I5" s="12">
        <f>'Ann 4'!J14-'Ann 5'!J12</f>
        <v>53570577.263855398</v>
      </c>
      <c r="J5" s="12">
        <f>'Ann 4'!K14-'Ann 5'!K12</f>
        <v>56516959.013367437</v>
      </c>
    </row>
    <row r="6" spans="1:10" x14ac:dyDescent="0.35">
      <c r="A6" s="12" t="s">
        <v>228</v>
      </c>
      <c r="B6" s="12">
        <v>0</v>
      </c>
      <c r="C6" s="12">
        <f>'Ann 5'!C23</f>
        <v>33333.333333333336</v>
      </c>
      <c r="D6" s="12">
        <f>'Ann 5'!D23</f>
        <v>34000</v>
      </c>
      <c r="E6" s="12">
        <f>'Ann 5'!E23</f>
        <v>34680</v>
      </c>
      <c r="F6" s="12">
        <f>'Ann 5'!F23</f>
        <v>35373.599999999999</v>
      </c>
      <c r="G6" s="12">
        <f>'Ann 5'!G23</f>
        <v>36081.072</v>
      </c>
      <c r="H6" s="12">
        <f>'Ann 5'!H23</f>
        <v>36802.693440000003</v>
      </c>
      <c r="I6" s="12">
        <f>'Ann 5'!I23</f>
        <v>37538.747308800004</v>
      </c>
      <c r="J6" s="12">
        <f>'Ann 5'!J23</f>
        <v>38289.522254976007</v>
      </c>
    </row>
    <row r="7" spans="1:10" x14ac:dyDescent="0.35">
      <c r="A7" s="12" t="s">
        <v>229</v>
      </c>
      <c r="B7" s="12">
        <v>0</v>
      </c>
      <c r="C7" s="12">
        <f>'Ann 5'!C12</f>
        <v>2510890</v>
      </c>
      <c r="D7" s="12">
        <f>'Ann 5'!D12</f>
        <v>2825588.2133333329</v>
      </c>
      <c r="E7" s="12">
        <f>'Ann 5'!E12</f>
        <v>3167307.7878833329</v>
      </c>
      <c r="F7" s="12">
        <f>'Ann 5'!F12</f>
        <v>3538069.1112884991</v>
      </c>
      <c r="G7" s="12">
        <f>'Ann 5'!G12</f>
        <v>3940033.0742098861</v>
      </c>
      <c r="H7" s="12">
        <f>'Ann 5'!H12</f>
        <v>4375510.4139909791</v>
      </c>
      <c r="I7" s="12">
        <f>'Ann 5'!I12</f>
        <v>4616163.4867604822</v>
      </c>
      <c r="J7" s="12">
        <f>'Ann 5'!J12</f>
        <v>4870052.4785323087</v>
      </c>
    </row>
    <row r="8" spans="1:10" x14ac:dyDescent="0.35">
      <c r="A8" s="12" t="s">
        <v>230</v>
      </c>
      <c r="B8" s="12">
        <f>'Ann 4'!C11-'Ann 5'!C23</f>
        <v>1768666.6666666667</v>
      </c>
      <c r="C8" s="12">
        <f>'Ann 4'!D11-'Ann 5'!D23</f>
        <v>1860320</v>
      </c>
      <c r="D8" s="12">
        <f>'Ann 4'!E11-'Ann 5'!E23</f>
        <v>1957219.2000000002</v>
      </c>
      <c r="E8" s="12">
        <f>'Ann 4'!F11-'Ann 5'!F23</f>
        <v>2059670.3520000002</v>
      </c>
      <c r="F8" s="12">
        <f>'Ann 4'!G11-'Ann 5'!G23</f>
        <v>2167997.5531199998</v>
      </c>
      <c r="G8" s="12">
        <f>'Ann 4'!H11-'Ann 5'!H23</f>
        <v>2282543.9769072002</v>
      </c>
      <c r="H8" s="12">
        <f>'Ann 4'!I11-'Ann 5'!I23</f>
        <v>2388357.6223336328</v>
      </c>
      <c r="I8" s="12">
        <f>'Ann 4'!J11-'Ann 5'!J23</f>
        <v>2500372.8757118904</v>
      </c>
      <c r="J8" s="12">
        <f>'Ann 4'!K11-'Ann 5'!K23</f>
        <v>2618958.8893036093</v>
      </c>
    </row>
    <row r="9" spans="1:10" x14ac:dyDescent="0.35">
      <c r="A9" s="12" t="s">
        <v>224</v>
      </c>
      <c r="B9" s="12">
        <f>'Ann 4'!C20</f>
        <v>904229.99999999988</v>
      </c>
      <c r="C9" s="12">
        <f>'Ann 4'!D20</f>
        <v>796979.99999999988</v>
      </c>
      <c r="D9" s="12">
        <f>'Ann 4'!E20</f>
        <v>664979.99999999988</v>
      </c>
      <c r="E9" s="12">
        <f>'Ann 4'!F20</f>
        <v>532980</v>
      </c>
      <c r="F9" s="12">
        <f>'Ann 4'!G20</f>
        <v>400980</v>
      </c>
      <c r="G9" s="12">
        <f>'Ann 4'!H20</f>
        <v>227534.99999999997</v>
      </c>
      <c r="H9" s="12">
        <f>'Ann 4'!I20</f>
        <v>53700</v>
      </c>
      <c r="I9" s="12">
        <f>'Ann 4'!J20</f>
        <v>53700</v>
      </c>
      <c r="J9" s="12">
        <f>'Ann 4'!K20</f>
        <v>53700</v>
      </c>
    </row>
    <row r="10" spans="1:10" x14ac:dyDescent="0.35">
      <c r="A10" s="12"/>
      <c r="B10" s="12">
        <f>B4+B5-B8-B9</f>
        <v>25483893.333333332</v>
      </c>
      <c r="C10" s="12">
        <f>C4+C5-C6+C7-C8-C9</f>
        <v>33073411.346666664</v>
      </c>
      <c r="D10" s="12">
        <f t="shared" ref="D10:J10" si="1">D4+D5-D6+D7-D8-D9</f>
        <v>40273169.865116656</v>
      </c>
      <c r="E10" s="12">
        <f t="shared" si="1"/>
        <v>48242189.846217491</v>
      </c>
      <c r="F10" s="12">
        <f t="shared" si="1"/>
        <v>57064283.312917426</v>
      </c>
      <c r="G10" s="12">
        <f t="shared" si="1"/>
        <v>66868685.873678051</v>
      </c>
      <c r="H10" s="12">
        <f t="shared" si="1"/>
        <v>73635820.391192377</v>
      </c>
      <c r="I10" s="12">
        <f t="shared" si="1"/>
        <v>84454166.984049886</v>
      </c>
      <c r="J10" s="12">
        <f t="shared" si="1"/>
        <v>95757334.741853341</v>
      </c>
    </row>
    <row r="11" spans="1:10" x14ac:dyDescent="0.35">
      <c r="A11" s="12" t="s">
        <v>231</v>
      </c>
      <c r="B11" s="12">
        <f>'Ann 4'!C26</f>
        <v>7748445</v>
      </c>
      <c r="C11" s="12">
        <f>'Ann 4'!D26</f>
        <v>8933726.5679999981</v>
      </c>
      <c r="D11" s="12">
        <f>'Ann 4'!E26</f>
        <v>10217343.376379997</v>
      </c>
      <c r="E11" s="12">
        <f>'Ann 4'!F26</f>
        <v>11599530.805038596</v>
      </c>
      <c r="F11" s="12">
        <f>'Ann 4'!G26</f>
        <v>13088401.75061959</v>
      </c>
      <c r="G11" s="12">
        <f>'Ann 4'!H26</f>
        <v>14704993.233163364</v>
      </c>
      <c r="H11" s="12">
        <f>'Ann 4'!I26</f>
        <v>15619807.860955006</v>
      </c>
      <c r="I11" s="12">
        <f>'Ann 4'!J26</f>
        <v>16525428.60088525</v>
      </c>
      <c r="J11" s="12">
        <f>'Ann 4'!K26</f>
        <v>17476798.610667698</v>
      </c>
    </row>
    <row r="12" spans="1:10" x14ac:dyDescent="0.35">
      <c r="A12" s="12"/>
      <c r="B12" s="12">
        <f>B10-B11</f>
        <v>17735448.333333332</v>
      </c>
      <c r="C12" s="12">
        <f t="shared" ref="C12:J12" si="2">C10-C11</f>
        <v>24139684.778666668</v>
      </c>
      <c r="D12" s="12">
        <f t="shared" si="2"/>
        <v>30055826.488736659</v>
      </c>
      <c r="E12" s="12">
        <f t="shared" si="2"/>
        <v>36642659.041178897</v>
      </c>
      <c r="F12" s="12">
        <f t="shared" si="2"/>
        <v>43975881.562297836</v>
      </c>
      <c r="G12" s="12">
        <f t="shared" si="2"/>
        <v>52163692.640514687</v>
      </c>
      <c r="H12" s="12">
        <f t="shared" si="2"/>
        <v>58016012.530237369</v>
      </c>
      <c r="I12" s="12">
        <f t="shared" si="2"/>
        <v>67928738.383164644</v>
      </c>
      <c r="J12" s="12">
        <f t="shared" si="2"/>
        <v>78280536.131185651</v>
      </c>
    </row>
    <row r="13" spans="1:10" x14ac:dyDescent="0.35">
      <c r="A13" s="12" t="s">
        <v>232</v>
      </c>
      <c r="B13" s="12">
        <f>'Ann 4'!C28</f>
        <v>14463764</v>
      </c>
      <c r="C13" s="12">
        <f>'Ann 4'!D28</f>
        <v>16676289.593599999</v>
      </c>
      <c r="D13" s="12">
        <f>'Ann 4'!E28</f>
        <v>19072374.302575994</v>
      </c>
      <c r="E13" s="12">
        <f>'Ann 4'!F28</f>
        <v>21652457.502738714</v>
      </c>
      <c r="F13" s="12">
        <f>'Ann 4'!G28</f>
        <v>24431683.267823238</v>
      </c>
      <c r="G13" s="12">
        <f>'Ann 4'!H28</f>
        <v>30089320.701904949</v>
      </c>
      <c r="H13" s="12">
        <f>'Ann 4'!I28</f>
        <v>29156974.673782676</v>
      </c>
      <c r="I13" s="12">
        <f>'Ann 4'!J28</f>
        <v>30847466.721652467</v>
      </c>
      <c r="J13" s="12">
        <f>'Ann 4'!K28</f>
        <v>32623357.406579711</v>
      </c>
    </row>
    <row r="14" spans="1:10" x14ac:dyDescent="0.35">
      <c r="A14" s="12"/>
      <c r="B14" s="12">
        <f>B12-B13</f>
        <v>3271684.3333333321</v>
      </c>
      <c r="C14" s="12">
        <f t="shared" ref="C14:J14" si="3">C12-C13</f>
        <v>7463395.1850666683</v>
      </c>
      <c r="D14" s="12">
        <f t="shared" si="3"/>
        <v>10983452.186160665</v>
      </c>
      <c r="E14" s="12">
        <f t="shared" si="3"/>
        <v>14990201.538440183</v>
      </c>
      <c r="F14" s="12">
        <f t="shared" si="3"/>
        <v>19544198.294474598</v>
      </c>
      <c r="G14" s="12">
        <f t="shared" si="3"/>
        <v>22074371.938609738</v>
      </c>
      <c r="H14" s="12">
        <f t="shared" si="3"/>
        <v>28859037.856454693</v>
      </c>
      <c r="I14" s="12">
        <f t="shared" si="3"/>
        <v>37081271.661512181</v>
      </c>
      <c r="J14" s="12">
        <f t="shared" si="3"/>
        <v>45657178.72460594</v>
      </c>
    </row>
    <row r="15" spans="1:10" x14ac:dyDescent="0.35">
      <c r="A15" s="12" t="s">
        <v>233</v>
      </c>
      <c r="B15" s="12">
        <f>SUM('Ann 13'!D10:D13)*100000</f>
        <v>1100000</v>
      </c>
      <c r="C15" s="12">
        <f>SUM('Ann 13'!D14:D17)*100000</f>
        <v>2200000</v>
      </c>
      <c r="D15" s="12">
        <f>SUM('Ann 13'!D18:D21)*100000</f>
        <v>2200000</v>
      </c>
      <c r="E15" s="12">
        <f>SUM('Ann 13'!D22:D25)*100000</f>
        <v>2200000</v>
      </c>
      <c r="F15" s="12">
        <f>SUM('Ann 13'!D26:D29)*100000</f>
        <v>2200000</v>
      </c>
      <c r="G15" s="12">
        <f>SUM('Ann 13'!D30:D33)*100000</f>
        <v>1113000</v>
      </c>
      <c r="H15" s="12">
        <f>SUM('Ann 13'!D34:D37)*100000</f>
        <v>0</v>
      </c>
      <c r="I15" s="12"/>
      <c r="J15" s="12"/>
    </row>
    <row r="16" spans="1:10" x14ac:dyDescent="0.35">
      <c r="A16" s="12" t="s">
        <v>235</v>
      </c>
      <c r="B16" s="12">
        <f>B14-B15</f>
        <v>2171684.3333333321</v>
      </c>
      <c r="C16" s="12">
        <f>C14-C15</f>
        <v>5263395.1850666683</v>
      </c>
      <c r="D16" s="12">
        <f>D14-D15</f>
        <v>8783452.186160665</v>
      </c>
      <c r="E16" s="12">
        <f t="shared" ref="E16:J16" si="4">E14-E15</f>
        <v>12790201.538440183</v>
      </c>
      <c r="F16" s="12">
        <f t="shared" si="4"/>
        <v>17344198.294474598</v>
      </c>
      <c r="G16" s="12">
        <f t="shared" si="4"/>
        <v>20961371.938609738</v>
      </c>
      <c r="H16" s="12">
        <f t="shared" si="4"/>
        <v>28859037.856454693</v>
      </c>
      <c r="I16" s="12">
        <f t="shared" si="4"/>
        <v>37081271.661512181</v>
      </c>
      <c r="J16" s="12">
        <f t="shared" si="4"/>
        <v>45657178.72460594</v>
      </c>
    </row>
    <row r="18" spans="1:11" x14ac:dyDescent="0.35">
      <c r="A18" s="42" t="s">
        <v>250</v>
      </c>
      <c r="B18" s="77">
        <v>0.06</v>
      </c>
      <c r="C18" s="42"/>
      <c r="D18" s="42"/>
      <c r="E18" s="42"/>
      <c r="F18" s="42"/>
      <c r="G18" s="42"/>
      <c r="H18" s="42"/>
      <c r="I18" s="42"/>
      <c r="J18" s="42"/>
      <c r="K18" s="42"/>
    </row>
    <row r="19" spans="1:11" x14ac:dyDescent="0.35">
      <c r="A19" s="42" t="s">
        <v>249</v>
      </c>
      <c r="B19" s="42">
        <f>1/(1+$B$18)</f>
        <v>0.94339622641509424</v>
      </c>
      <c r="C19" s="42">
        <f>1/((1+$B$18)*(1+$B$18))</f>
        <v>0.88999644001423983</v>
      </c>
      <c r="D19" s="42">
        <f>1/((1+$B$18)*(1+$B$18)*(1+$B$18))</f>
        <v>0.8396192830323016</v>
      </c>
      <c r="E19" s="42">
        <f>1/((1+$B$18)*(1+$B$18)*(1+$B$18)*(1+$B$18))</f>
        <v>0.79209366323802044</v>
      </c>
      <c r="F19" s="42">
        <f>1/((1+$B$18)*(1+$B$18)*(1+$B$18)*(1+$B$18)*(1+$B$18))</f>
        <v>0.74725817286605689</v>
      </c>
      <c r="G19" s="42">
        <f>1/((1+$B$18)*(1+$B$18)*(1+$B$18)*(1+$B$18)*(1+$B$18)*(1+$B$18))</f>
        <v>0.70496054043967626</v>
      </c>
      <c r="H19" s="42">
        <f>1/((1+$B$18)*(1+$B$18)*(1+$B$18)*(1+$B$18)*(1+$B$18)*(1+$B$18)*(1+$B$18))</f>
        <v>0.6650571136223361</v>
      </c>
      <c r="I19" s="42">
        <f>1/((1+$B$18)*(1+$B$18)*(1+$B$18)*(1+$B$18)*(1+$B$18)*(1+$B$18)*(1+$B$18)*(1+$B$18))</f>
        <v>0.62741237134182648</v>
      </c>
      <c r="J19" s="42">
        <f>1/((1+$B$18)*(1+$B$18)*(1+$B$18)*(1+$B$18)*(1+$B$18)*(1+$B$18)*(1+$B$18)*(1+$B$18)*(1+$B$18))</f>
        <v>0.59189846353002495</v>
      </c>
      <c r="K19" s="42"/>
    </row>
    <row r="20" spans="1:11" x14ac:dyDescent="0.35">
      <c r="A20" s="42" t="s">
        <v>246</v>
      </c>
      <c r="B20" s="42">
        <f>B4+B5+B7</f>
        <v>28156790</v>
      </c>
      <c r="C20" s="42">
        <f t="shared" ref="C20:J20" si="5">C4+C5+C7</f>
        <v>35764044.679999992</v>
      </c>
      <c r="D20" s="42">
        <f t="shared" si="5"/>
        <v>42929369.065116659</v>
      </c>
      <c r="E20" s="42">
        <f t="shared" si="5"/>
        <v>50869520.198217489</v>
      </c>
      <c r="F20" s="42">
        <f t="shared" si="5"/>
        <v>59668634.466037437</v>
      </c>
      <c r="G20" s="42">
        <f t="shared" si="5"/>
        <v>69414845.922585249</v>
      </c>
      <c r="H20" s="42">
        <f t="shared" si="5"/>
        <v>76114680.706966013</v>
      </c>
      <c r="I20" s="42">
        <f t="shared" si="5"/>
        <v>87045778.60707058</v>
      </c>
      <c r="J20" s="42">
        <f t="shared" si="5"/>
        <v>98468283.153411925</v>
      </c>
      <c r="K20" s="42"/>
    </row>
    <row r="21" spans="1:11" x14ac:dyDescent="0.35">
      <c r="A21" s="42" t="s">
        <v>251</v>
      </c>
      <c r="B21" s="42">
        <f>B19*B20</f>
        <v>26563009.433962263</v>
      </c>
      <c r="C21" s="42">
        <f t="shared" ref="C21:J21" si="6">C19*C20</f>
        <v>31829872.445710205</v>
      </c>
      <c r="D21" s="42">
        <f t="shared" si="6"/>
        <v>36044326.075482316</v>
      </c>
      <c r="E21" s="42">
        <f t="shared" si="6"/>
        <v>40293424.600966565</v>
      </c>
      <c r="F21" s="42">
        <f t="shared" si="6"/>
        <v>44587874.768503763</v>
      </c>
      <c r="G21" s="42">
        <f t="shared" si="6"/>
        <v>48934727.296122558</v>
      </c>
      <c r="H21" s="42">
        <f t="shared" si="6"/>
        <v>50620609.855260529</v>
      </c>
      <c r="I21" s="42">
        <f t="shared" si="6"/>
        <v>54613598.37115778</v>
      </c>
      <c r="J21" s="42">
        <f t="shared" si="6"/>
        <v>58283225.504943959</v>
      </c>
      <c r="K21" s="42"/>
    </row>
    <row r="22" spans="1:11" x14ac:dyDescent="0.35">
      <c r="A22" s="42" t="s">
        <v>247</v>
      </c>
      <c r="B22" s="42">
        <f t="shared" ref="B22:J22" si="7">B6+B8+B9+B11+B13+B15</f>
        <v>25985105.666666664</v>
      </c>
      <c r="C22" s="42">
        <f t="shared" si="7"/>
        <v>30500649.49493333</v>
      </c>
      <c r="D22" s="42">
        <f t="shared" si="7"/>
        <v>34145916.87895599</v>
      </c>
      <c r="E22" s="42">
        <f t="shared" si="7"/>
        <v>38079318.659777313</v>
      </c>
      <c r="F22" s="42">
        <f t="shared" si="7"/>
        <v>42324436.171562828</v>
      </c>
      <c r="G22" s="42">
        <f t="shared" si="7"/>
        <v>48453473.983975515</v>
      </c>
      <c r="H22" s="42">
        <f t="shared" si="7"/>
        <v>47255642.850511312</v>
      </c>
      <c r="I22" s="42">
        <f t="shared" si="7"/>
        <v>49964506.945558406</v>
      </c>
      <c r="J22" s="42">
        <f t="shared" si="7"/>
        <v>52811104.428805992</v>
      </c>
      <c r="K22" s="42"/>
    </row>
    <row r="23" spans="1:11" x14ac:dyDescent="0.35">
      <c r="A23" s="42" t="s">
        <v>252</v>
      </c>
      <c r="B23" s="42">
        <f>B22*B19</f>
        <v>24514250.628930815</v>
      </c>
      <c r="C23" s="42">
        <f t="shared" ref="C23:J23" si="8">C22*C19</f>
        <v>27145469.468612786</v>
      </c>
      <c r="D23" s="42">
        <f t="shared" si="8"/>
        <v>28669570.248389594</v>
      </c>
      <c r="E23" s="42">
        <f t="shared" si="8"/>
        <v>30162387.01083092</v>
      </c>
      <c r="F23" s="42">
        <f t="shared" si="8"/>
        <v>31627280.841148086</v>
      </c>
      <c r="G23" s="42">
        <f t="shared" si="8"/>
        <v>34157787.20592317</v>
      </c>
      <c r="H23" s="42">
        <f t="shared" si="8"/>
        <v>31427701.436529037</v>
      </c>
      <c r="I23" s="42">
        <f t="shared" si="8"/>
        <v>31348349.78563796</v>
      </c>
      <c r="J23" s="42">
        <f t="shared" si="8"/>
        <v>31258811.568733964</v>
      </c>
      <c r="K23" s="42"/>
    </row>
    <row r="24" spans="1:11" x14ac:dyDescent="0.3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11" x14ac:dyDescent="0.35">
      <c r="A25" s="42" t="s">
        <v>248</v>
      </c>
      <c r="B25" s="42">
        <f t="shared" ref="B25:J25" si="9">B20-B22</f>
        <v>2171684.3333333358</v>
      </c>
      <c r="C25" s="42">
        <f t="shared" si="9"/>
        <v>5263395.1850666627</v>
      </c>
      <c r="D25" s="42">
        <f t="shared" si="9"/>
        <v>8783452.1861606687</v>
      </c>
      <c r="E25" s="42">
        <f t="shared" si="9"/>
        <v>12790201.538440175</v>
      </c>
      <c r="F25" s="42">
        <f t="shared" si="9"/>
        <v>17344198.294474609</v>
      </c>
      <c r="G25" s="42">
        <f t="shared" si="9"/>
        <v>20961371.938609734</v>
      </c>
      <c r="H25" s="42">
        <f t="shared" si="9"/>
        <v>28859037.8564547</v>
      </c>
      <c r="I25" s="42">
        <f t="shared" si="9"/>
        <v>37081271.661512174</v>
      </c>
      <c r="J25" s="42">
        <f t="shared" si="9"/>
        <v>45657178.724605933</v>
      </c>
      <c r="K25" s="42"/>
    </row>
    <row r="26" spans="1:11" x14ac:dyDescent="0.35">
      <c r="A26" s="42" t="s">
        <v>253</v>
      </c>
      <c r="B26" s="42">
        <f>B21-B23</f>
        <v>2048758.8050314486</v>
      </c>
      <c r="C26" s="42">
        <f t="shared" ref="C26:J26" si="10">C21-C23</f>
        <v>4684402.9770974182</v>
      </c>
      <c r="D26" s="42">
        <f t="shared" si="10"/>
        <v>7374755.8270927221</v>
      </c>
      <c r="E26" s="42">
        <f t="shared" si="10"/>
        <v>10131037.590135645</v>
      </c>
      <c r="F26" s="42">
        <f t="shared" si="10"/>
        <v>12960593.927355677</v>
      </c>
      <c r="G26" s="42">
        <f t="shared" si="10"/>
        <v>14776940.090199389</v>
      </c>
      <c r="H26" s="42">
        <f t="shared" si="10"/>
        <v>19192908.418731492</v>
      </c>
      <c r="I26" s="42">
        <f t="shared" si="10"/>
        <v>23265248.58551982</v>
      </c>
      <c r="J26" s="42">
        <f t="shared" si="10"/>
        <v>27024413.936209995</v>
      </c>
      <c r="K26" s="42">
        <f>SUM(B26:J26)</f>
        <v>121459060.15737361</v>
      </c>
    </row>
    <row r="27" spans="1:11" x14ac:dyDescent="0.3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</row>
  </sheetData>
  <pageMargins left="0.7" right="0.7" top="0.75" bottom="0.75" header="0.3" footer="0.3"/>
  <pageSetup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605E-C4D3-450C-BF59-4D3BDA863C69}">
  <sheetPr>
    <pageSetUpPr fitToPage="1"/>
  </sheetPr>
  <dimension ref="A1:L9"/>
  <sheetViews>
    <sheetView workbookViewId="0">
      <selection activeCell="A2" sqref="A2"/>
    </sheetView>
  </sheetViews>
  <sheetFormatPr defaultRowHeight="14.5" x14ac:dyDescent="0.35"/>
  <cols>
    <col min="1" max="1" width="5.453125" bestFit="1" customWidth="1"/>
    <col min="2" max="2" width="98.54296875" bestFit="1" customWidth="1"/>
    <col min="3" max="3" width="12.36328125" bestFit="1" customWidth="1"/>
  </cols>
  <sheetData>
    <row r="1" spans="1:12" x14ac:dyDescent="0.35">
      <c r="A1" s="22" t="s">
        <v>98</v>
      </c>
      <c r="B1" s="22" t="s">
        <v>272</v>
      </c>
    </row>
    <row r="2" spans="1:12" x14ac:dyDescent="0.35">
      <c r="A2">
        <v>1</v>
      </c>
      <c r="B2" t="s">
        <v>273</v>
      </c>
    </row>
    <row r="3" spans="1:12" x14ac:dyDescent="0.35">
      <c r="A3">
        <v>2</v>
      </c>
      <c r="B3" t="s">
        <v>274</v>
      </c>
    </row>
    <row r="4" spans="1:12" x14ac:dyDescent="0.35">
      <c r="A4">
        <v>3</v>
      </c>
      <c r="B4" t="s">
        <v>275</v>
      </c>
    </row>
    <row r="5" spans="1:12" x14ac:dyDescent="0.35">
      <c r="C5" t="s">
        <v>245</v>
      </c>
      <c r="D5">
        <v>20000</v>
      </c>
      <c r="E5">
        <f>D5*1.05</f>
        <v>21000</v>
      </c>
      <c r="F5">
        <f>E5*1.05</f>
        <v>22050</v>
      </c>
      <c r="G5">
        <f>F5*1.05</f>
        <v>23152.5</v>
      </c>
      <c r="H5">
        <f>G5*1.05</f>
        <v>24310.125</v>
      </c>
      <c r="I5">
        <f t="shared" ref="I5" si="0">H5*1.05</f>
        <v>25525.631250000002</v>
      </c>
      <c r="J5">
        <f>I5</f>
        <v>25525.631250000002</v>
      </c>
      <c r="K5">
        <f t="shared" ref="K5:L5" si="1">J5</f>
        <v>25525.631250000002</v>
      </c>
      <c r="L5">
        <f t="shared" si="1"/>
        <v>25525.631250000002</v>
      </c>
    </row>
    <row r="6" spans="1:12" x14ac:dyDescent="0.35">
      <c r="C6" t="s">
        <v>121</v>
      </c>
      <c r="D6">
        <f>D5*12</f>
        <v>240000</v>
      </c>
      <c r="E6">
        <f t="shared" ref="E6:L6" si="2">E5*12</f>
        <v>252000</v>
      </c>
      <c r="F6">
        <f t="shared" si="2"/>
        <v>264600</v>
      </c>
      <c r="G6">
        <f t="shared" si="2"/>
        <v>277830</v>
      </c>
      <c r="H6">
        <f t="shared" si="2"/>
        <v>291721.5</v>
      </c>
      <c r="I6">
        <f t="shared" si="2"/>
        <v>306307.57500000001</v>
      </c>
      <c r="J6">
        <f t="shared" si="2"/>
        <v>306307.57500000001</v>
      </c>
      <c r="K6">
        <f t="shared" si="2"/>
        <v>306307.57500000001</v>
      </c>
      <c r="L6">
        <f t="shared" si="2"/>
        <v>306307.57500000001</v>
      </c>
    </row>
    <row r="7" spans="1:12" x14ac:dyDescent="0.35">
      <c r="A7">
        <v>4</v>
      </c>
      <c r="B7" t="s">
        <v>276</v>
      </c>
    </row>
    <row r="8" spans="1:12" x14ac:dyDescent="0.35">
      <c r="A8">
        <v>5</v>
      </c>
      <c r="B8" t="s">
        <v>280</v>
      </c>
    </row>
    <row r="9" spans="1:12" x14ac:dyDescent="0.35">
      <c r="B9" t="s">
        <v>278</v>
      </c>
    </row>
  </sheetData>
  <pageMargins left="0.7" right="0.7" top="0.75" bottom="0.75" header="0.3" footer="0.3"/>
  <pageSetup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8DE0-72C3-4C7B-BCE1-80ED309267B8}">
  <dimension ref="A1:K7"/>
  <sheetViews>
    <sheetView workbookViewId="0">
      <selection activeCell="C5" sqref="C5"/>
    </sheetView>
  </sheetViews>
  <sheetFormatPr defaultRowHeight="14.5" x14ac:dyDescent="0.35"/>
  <cols>
    <col min="3" max="3" width="8.81640625" bestFit="1" customWidth="1"/>
    <col min="4" max="5" width="11.81640625" bestFit="1" customWidth="1"/>
    <col min="6" max="6" width="9.81640625" bestFit="1" customWidth="1"/>
    <col min="7" max="11" width="11.81640625" bestFit="1" customWidth="1"/>
  </cols>
  <sheetData>
    <row r="1" spans="1:11" x14ac:dyDescent="0.35">
      <c r="A1" t="s">
        <v>197</v>
      </c>
    </row>
    <row r="2" spans="1:11" x14ac:dyDescent="0.3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</row>
    <row r="3" spans="1:11" x14ac:dyDescent="0.35">
      <c r="A3" t="s">
        <v>198</v>
      </c>
      <c r="C3">
        <f>'Ann 4'!C14/300*270</f>
        <v>27117612</v>
      </c>
      <c r="D3">
        <f>'Ann 4'!D14/300*270</f>
        <v>30516352.703999996</v>
      </c>
      <c r="E3">
        <f>'Ann 4'!E14/300*270</f>
        <v>34206924.109139994</v>
      </c>
      <c r="F3">
        <f>'Ann 4'!F14/300*270</f>
        <v>38211146.401915789</v>
      </c>
      <c r="G3">
        <f>'Ann 4'!G14/300*270</f>
        <v>42552357.201466776</v>
      </c>
      <c r="H3">
        <f>'Ann 4'!H14/300*270</f>
        <v>47255512.471102573</v>
      </c>
      <c r="I3">
        <f>'Ann 4'!I14/300*270</f>
        <v>49854565.657013208</v>
      </c>
      <c r="J3">
        <f>'Ann 4'!J14/300*270</f>
        <v>52596566.768148936</v>
      </c>
      <c r="K3">
        <f>'Ann 4'!K14/300*270</f>
        <v>55489377.940397121</v>
      </c>
    </row>
    <row r="4" spans="1:11" x14ac:dyDescent="0.35">
      <c r="A4" t="s">
        <v>199</v>
      </c>
      <c r="C4">
        <v>5000000</v>
      </c>
    </row>
    <row r="5" spans="1:11" x14ac:dyDescent="0.35">
      <c r="A5" t="s">
        <v>200</v>
      </c>
      <c r="C5">
        <v>21492978</v>
      </c>
    </row>
    <row r="7" spans="1:11" x14ac:dyDescent="0.35">
      <c r="A7" t="s">
        <v>201</v>
      </c>
      <c r="C7">
        <f>'Ann 3'!G39</f>
        <v>25497978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A738-A431-4FFB-9E48-2908CC4F126C}">
  <dimension ref="A1:C37"/>
  <sheetViews>
    <sheetView workbookViewId="0">
      <selection activeCell="A2" sqref="A2"/>
    </sheetView>
  </sheetViews>
  <sheetFormatPr defaultRowHeight="14.5" x14ac:dyDescent="0.35"/>
  <cols>
    <col min="2" max="2" width="44.90625" customWidth="1"/>
    <col min="3" max="3" width="13.26953125" customWidth="1"/>
  </cols>
  <sheetData>
    <row r="1" spans="1:3" x14ac:dyDescent="0.35">
      <c r="A1" s="22" t="s">
        <v>285</v>
      </c>
    </row>
    <row r="3" spans="1:3" s="5" customFormat="1" x14ac:dyDescent="0.35">
      <c r="A3" s="51" t="s">
        <v>0</v>
      </c>
    </row>
    <row r="5" spans="1:3" x14ac:dyDescent="0.35">
      <c r="A5" s="31" t="s">
        <v>1</v>
      </c>
      <c r="B5" s="32"/>
      <c r="C5" s="33"/>
    </row>
    <row r="6" spans="1:3" ht="29" x14ac:dyDescent="0.35">
      <c r="A6" s="34" t="s">
        <v>2</v>
      </c>
      <c r="B6" s="34" t="s">
        <v>3</v>
      </c>
      <c r="C6" s="35" t="s">
        <v>4</v>
      </c>
    </row>
    <row r="7" spans="1:3" x14ac:dyDescent="0.35">
      <c r="A7" s="7">
        <v>1</v>
      </c>
      <c r="B7" s="9" t="s">
        <v>6</v>
      </c>
      <c r="C7" s="6"/>
    </row>
    <row r="8" spans="1:3" x14ac:dyDescent="0.35">
      <c r="A8" s="7" t="s">
        <v>5</v>
      </c>
      <c r="B8" s="9" t="s">
        <v>7</v>
      </c>
      <c r="C8" s="69">
        <v>0</v>
      </c>
    </row>
    <row r="9" spans="1:3" x14ac:dyDescent="0.35">
      <c r="A9" s="7"/>
      <c r="B9" s="9" t="s">
        <v>8</v>
      </c>
      <c r="C9" s="69">
        <f>SUM(C8)</f>
        <v>0</v>
      </c>
    </row>
    <row r="10" spans="1:3" x14ac:dyDescent="0.35">
      <c r="A10" s="7"/>
      <c r="B10" s="9"/>
      <c r="C10" s="6"/>
    </row>
    <row r="11" spans="1:3" x14ac:dyDescent="0.35">
      <c r="A11" s="7">
        <v>2</v>
      </c>
      <c r="B11" s="9" t="s">
        <v>9</v>
      </c>
      <c r="C11" s="6"/>
    </row>
    <row r="12" spans="1:3" x14ac:dyDescent="0.35">
      <c r="A12" s="7" t="s">
        <v>5</v>
      </c>
      <c r="B12" s="9" t="s">
        <v>9</v>
      </c>
      <c r="C12" s="26">
        <v>159.63</v>
      </c>
    </row>
    <row r="13" spans="1:3" x14ac:dyDescent="0.35">
      <c r="A13" s="7"/>
      <c r="B13" s="9" t="s">
        <v>8</v>
      </c>
      <c r="C13" s="26">
        <f>C12</f>
        <v>159.63</v>
      </c>
    </row>
    <row r="14" spans="1:3" x14ac:dyDescent="0.35">
      <c r="A14" s="7"/>
      <c r="B14" s="9"/>
      <c r="C14" s="6"/>
    </row>
    <row r="15" spans="1:3" x14ac:dyDescent="0.35">
      <c r="A15" s="7">
        <v>3</v>
      </c>
      <c r="B15" s="9" t="s">
        <v>10</v>
      </c>
      <c r="C15" s="6"/>
    </row>
    <row r="16" spans="1:3" x14ac:dyDescent="0.35">
      <c r="A16" s="7" t="s">
        <v>5</v>
      </c>
      <c r="B16" s="9" t="s">
        <v>11</v>
      </c>
      <c r="C16" s="26">
        <v>0</v>
      </c>
    </row>
    <row r="17" spans="1:3" x14ac:dyDescent="0.35">
      <c r="A17" s="7"/>
      <c r="B17" s="9" t="s">
        <v>8</v>
      </c>
      <c r="C17" s="27">
        <f>C16</f>
        <v>0</v>
      </c>
    </row>
    <row r="18" spans="1:3" x14ac:dyDescent="0.35">
      <c r="A18" s="7"/>
      <c r="B18" s="9"/>
      <c r="C18" s="6"/>
    </row>
    <row r="19" spans="1:3" x14ac:dyDescent="0.35">
      <c r="A19" s="7">
        <v>4</v>
      </c>
      <c r="B19" s="9" t="s">
        <v>12</v>
      </c>
      <c r="C19" s="6"/>
    </row>
    <row r="20" spans="1:3" x14ac:dyDescent="0.35">
      <c r="A20" s="7" t="s">
        <v>5</v>
      </c>
      <c r="B20" s="9" t="s">
        <v>13</v>
      </c>
      <c r="C20" s="69">
        <v>0</v>
      </c>
    </row>
    <row r="21" spans="1:3" x14ac:dyDescent="0.35">
      <c r="A21" s="7"/>
      <c r="B21" s="9"/>
      <c r="C21" s="69"/>
    </row>
    <row r="22" spans="1:3" x14ac:dyDescent="0.35">
      <c r="A22" s="7">
        <v>5</v>
      </c>
      <c r="B22" s="9" t="s">
        <v>14</v>
      </c>
      <c r="C22" s="69">
        <v>5.37</v>
      </c>
    </row>
    <row r="23" spans="1:3" x14ac:dyDescent="0.35">
      <c r="A23" s="7"/>
      <c r="B23" s="9"/>
      <c r="C23" s="69"/>
    </row>
    <row r="24" spans="1:3" x14ac:dyDescent="0.35">
      <c r="A24" s="7">
        <v>6</v>
      </c>
      <c r="B24" s="9" t="s">
        <v>15</v>
      </c>
      <c r="C24" s="69"/>
    </row>
    <row r="25" spans="1:3" x14ac:dyDescent="0.35">
      <c r="A25" s="7" t="s">
        <v>5</v>
      </c>
      <c r="B25" s="9" t="s">
        <v>16</v>
      </c>
      <c r="C25" s="69">
        <v>0</v>
      </c>
    </row>
    <row r="26" spans="1:3" x14ac:dyDescent="0.35">
      <c r="A26" s="7"/>
      <c r="B26" s="9" t="s">
        <v>8</v>
      </c>
      <c r="C26" s="69"/>
    </row>
    <row r="27" spans="1:3" x14ac:dyDescent="0.35">
      <c r="A27" s="7"/>
      <c r="B27" s="9"/>
      <c r="C27" s="69"/>
    </row>
    <row r="28" spans="1:3" x14ac:dyDescent="0.35">
      <c r="A28" s="7"/>
      <c r="B28" s="9" t="s">
        <v>17</v>
      </c>
      <c r="C28" s="6"/>
    </row>
    <row r="29" spans="1:3" ht="29" x14ac:dyDescent="0.35">
      <c r="A29" s="7"/>
      <c r="B29" s="10" t="s">
        <v>18</v>
      </c>
      <c r="C29" s="6"/>
    </row>
    <row r="30" spans="1:3" x14ac:dyDescent="0.35">
      <c r="A30" s="7" t="s">
        <v>5</v>
      </c>
      <c r="B30" s="9" t="s">
        <v>19</v>
      </c>
      <c r="C30" s="69">
        <v>0</v>
      </c>
    </row>
    <row r="31" spans="1:3" x14ac:dyDescent="0.35">
      <c r="A31" s="7" t="s">
        <v>20</v>
      </c>
      <c r="B31" s="9" t="s">
        <v>21</v>
      </c>
      <c r="C31" s="69">
        <v>0</v>
      </c>
    </row>
    <row r="32" spans="1:3" x14ac:dyDescent="0.35">
      <c r="A32" s="7"/>
      <c r="B32" s="9" t="s">
        <v>8</v>
      </c>
      <c r="C32" s="69">
        <v>0</v>
      </c>
    </row>
    <row r="33" spans="1:3" x14ac:dyDescent="0.35">
      <c r="A33" s="7"/>
      <c r="B33" s="9"/>
      <c r="C33" s="6"/>
    </row>
    <row r="34" spans="1:3" x14ac:dyDescent="0.35">
      <c r="A34" s="8"/>
      <c r="B34" s="11" t="s">
        <v>22</v>
      </c>
      <c r="C34" s="28">
        <f>C32+C25+C22+C17+C13+C20</f>
        <v>165</v>
      </c>
    </row>
    <row r="35" spans="1:3" x14ac:dyDescent="0.35">
      <c r="A35" s="1"/>
    </row>
    <row r="36" spans="1:3" x14ac:dyDescent="0.35">
      <c r="A36" s="1"/>
    </row>
    <row r="37" spans="1:3" x14ac:dyDescent="0.35">
      <c r="A37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81CD-D127-4212-A91B-7CC6FC2C782F}">
  <dimension ref="A1:D8"/>
  <sheetViews>
    <sheetView workbookViewId="0">
      <selection activeCell="B20" sqref="B20"/>
    </sheetView>
  </sheetViews>
  <sheetFormatPr defaultRowHeight="14.5" x14ac:dyDescent="0.35"/>
  <cols>
    <col min="2" max="2" width="22.08984375" customWidth="1"/>
    <col min="3" max="3" width="18.81640625" bestFit="1" customWidth="1"/>
  </cols>
  <sheetData>
    <row r="1" spans="1:4" x14ac:dyDescent="0.35">
      <c r="A1" s="22" t="s">
        <v>23</v>
      </c>
    </row>
    <row r="3" spans="1:4" x14ac:dyDescent="0.35">
      <c r="A3" s="36" t="s">
        <v>24</v>
      </c>
      <c r="B3" s="32" t="s">
        <v>25</v>
      </c>
      <c r="C3" s="33" t="s">
        <v>4</v>
      </c>
    </row>
    <row r="4" spans="1:4" x14ac:dyDescent="0.35">
      <c r="A4" s="14">
        <v>1</v>
      </c>
      <c r="B4" s="5" t="s">
        <v>26</v>
      </c>
      <c r="C4" s="27">
        <v>16.5</v>
      </c>
      <c r="D4" s="45"/>
    </row>
    <row r="5" spans="1:4" x14ac:dyDescent="0.35">
      <c r="A5" s="14">
        <v>2</v>
      </c>
      <c r="B5" s="5" t="s">
        <v>27</v>
      </c>
      <c r="C5" s="27">
        <v>0</v>
      </c>
      <c r="D5" s="2"/>
    </row>
    <row r="6" spans="1:4" x14ac:dyDescent="0.35">
      <c r="A6" s="14">
        <v>3</v>
      </c>
      <c r="B6" s="5" t="s">
        <v>28</v>
      </c>
      <c r="C6" s="27">
        <f>C8-C4-C7</f>
        <v>143.13</v>
      </c>
      <c r="D6" s="24"/>
    </row>
    <row r="7" spans="1:4" x14ac:dyDescent="0.35">
      <c r="A7" s="14">
        <v>4</v>
      </c>
      <c r="B7" s="5" t="s">
        <v>29</v>
      </c>
      <c r="C7" s="69">
        <v>5.37</v>
      </c>
    </row>
    <row r="8" spans="1:4" x14ac:dyDescent="0.35">
      <c r="A8" s="13"/>
      <c r="B8" s="4" t="s">
        <v>8</v>
      </c>
      <c r="C8" s="37">
        <f>'Ann 1'!C34</f>
        <v>165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2858-CA67-4C56-BFC5-E2781F80B181}">
  <dimension ref="A1:G42"/>
  <sheetViews>
    <sheetView workbookViewId="0">
      <selection activeCell="G40" sqref="G40"/>
    </sheetView>
  </sheetViews>
  <sheetFormatPr defaultRowHeight="14.5" x14ac:dyDescent="0.35"/>
  <cols>
    <col min="1" max="1" width="3.6328125" customWidth="1"/>
    <col min="2" max="2" width="26.08984375" customWidth="1"/>
    <col min="4" max="4" width="12.7265625" bestFit="1" customWidth="1"/>
    <col min="6" max="6" width="10.54296875" customWidth="1"/>
    <col min="7" max="7" width="11" bestFit="1" customWidth="1"/>
  </cols>
  <sheetData>
    <row r="1" spans="1:7" x14ac:dyDescent="0.35">
      <c r="A1" s="22" t="s">
        <v>30</v>
      </c>
    </row>
    <row r="3" spans="1:7" x14ac:dyDescent="0.35">
      <c r="A3" s="38" t="s">
        <v>31</v>
      </c>
      <c r="B3" s="39"/>
      <c r="C3" s="39"/>
      <c r="D3" s="39"/>
      <c r="E3" s="39"/>
      <c r="F3" s="39"/>
      <c r="G3" s="40"/>
    </row>
    <row r="4" spans="1:7" x14ac:dyDescent="0.35">
      <c r="A4" s="36" t="s">
        <v>32</v>
      </c>
      <c r="B4" s="32"/>
      <c r="C4" s="32"/>
      <c r="D4" s="32" t="s">
        <v>46</v>
      </c>
      <c r="E4" s="32" t="s">
        <v>51</v>
      </c>
      <c r="F4" s="32" t="s">
        <v>53</v>
      </c>
      <c r="G4" s="33" t="s">
        <v>54</v>
      </c>
    </row>
    <row r="5" spans="1:7" x14ac:dyDescent="0.35">
      <c r="A5" s="14">
        <v>1</v>
      </c>
      <c r="B5" s="5" t="s">
        <v>33</v>
      </c>
      <c r="C5" s="5"/>
      <c r="D5" s="41" t="s">
        <v>47</v>
      </c>
      <c r="E5" s="41" t="s">
        <v>52</v>
      </c>
      <c r="F5" s="17">
        <v>608621</v>
      </c>
      <c r="G5" s="18">
        <v>608621</v>
      </c>
    </row>
    <row r="6" spans="1:7" x14ac:dyDescent="0.35">
      <c r="A6" s="14">
        <v>2</v>
      </c>
      <c r="B6" s="5" t="s">
        <v>34</v>
      </c>
      <c r="C6" s="5"/>
      <c r="D6" s="41" t="s">
        <v>48</v>
      </c>
      <c r="E6" s="41">
        <v>1</v>
      </c>
      <c r="F6" s="17">
        <v>138000</v>
      </c>
      <c r="G6" s="18">
        <v>138000</v>
      </c>
    </row>
    <row r="7" spans="1:7" x14ac:dyDescent="0.35">
      <c r="A7" s="14">
        <v>3</v>
      </c>
      <c r="B7" s="5" t="s">
        <v>35</v>
      </c>
      <c r="C7" s="5"/>
      <c r="D7" s="41" t="s">
        <v>49</v>
      </c>
      <c r="E7" s="41">
        <v>1</v>
      </c>
      <c r="F7" s="17">
        <v>37500</v>
      </c>
      <c r="G7" s="18">
        <v>37500</v>
      </c>
    </row>
    <row r="8" spans="1:7" x14ac:dyDescent="0.35">
      <c r="A8" s="14">
        <v>4</v>
      </c>
      <c r="B8" s="5" t="s">
        <v>36</v>
      </c>
      <c r="C8" s="5"/>
      <c r="D8" s="41" t="s">
        <v>50</v>
      </c>
      <c r="E8" s="41">
        <v>1</v>
      </c>
      <c r="F8" s="17">
        <v>323037</v>
      </c>
      <c r="G8" s="18">
        <v>323037</v>
      </c>
    </row>
    <row r="9" spans="1:7" x14ac:dyDescent="0.35">
      <c r="A9" s="14">
        <v>5</v>
      </c>
      <c r="B9" s="5" t="s">
        <v>37</v>
      </c>
      <c r="C9" s="5"/>
      <c r="D9" s="41">
        <v>1</v>
      </c>
      <c r="E9" s="41">
        <v>1</v>
      </c>
      <c r="F9" s="17">
        <v>500000</v>
      </c>
      <c r="G9" s="18">
        <v>500000</v>
      </c>
    </row>
    <row r="10" spans="1:7" x14ac:dyDescent="0.35">
      <c r="A10" s="14">
        <v>6</v>
      </c>
      <c r="B10" s="5" t="s">
        <v>38</v>
      </c>
      <c r="C10" s="5"/>
      <c r="D10" s="41">
        <v>1</v>
      </c>
      <c r="E10" s="41">
        <v>1</v>
      </c>
      <c r="F10" s="17">
        <v>250000</v>
      </c>
      <c r="G10" s="18">
        <v>250000</v>
      </c>
    </row>
    <row r="11" spans="1:7" x14ac:dyDescent="0.35">
      <c r="A11" s="14">
        <v>7</v>
      </c>
      <c r="B11" s="5" t="s">
        <v>39</v>
      </c>
      <c r="C11" s="5"/>
      <c r="D11" s="41" t="s">
        <v>49</v>
      </c>
      <c r="E11" s="41">
        <v>1</v>
      </c>
      <c r="F11" s="17">
        <v>207000</v>
      </c>
      <c r="G11" s="18">
        <v>207000</v>
      </c>
    </row>
    <row r="12" spans="1:7" x14ac:dyDescent="0.35">
      <c r="A12" s="14">
        <v>8</v>
      </c>
      <c r="B12" s="5" t="s">
        <v>40</v>
      </c>
      <c r="C12" s="5"/>
      <c r="D12" s="41" t="s">
        <v>49</v>
      </c>
      <c r="E12" s="41">
        <v>1</v>
      </c>
      <c r="F12" s="17">
        <v>45000</v>
      </c>
      <c r="G12" s="18">
        <v>45000</v>
      </c>
    </row>
    <row r="13" spans="1:7" x14ac:dyDescent="0.35">
      <c r="A13" s="14">
        <v>9</v>
      </c>
      <c r="B13" s="5" t="s">
        <v>41</v>
      </c>
      <c r="C13" s="5"/>
      <c r="D13" s="41" t="s">
        <v>49</v>
      </c>
      <c r="E13" s="41">
        <v>1</v>
      </c>
      <c r="F13" s="17">
        <v>45000</v>
      </c>
      <c r="G13" s="18">
        <v>45000</v>
      </c>
    </row>
    <row r="14" spans="1:7" x14ac:dyDescent="0.35">
      <c r="A14" s="14">
        <v>10</v>
      </c>
      <c r="B14" s="5" t="s">
        <v>42</v>
      </c>
      <c r="C14" s="5"/>
      <c r="D14" s="41" t="s">
        <v>48</v>
      </c>
      <c r="E14" s="41">
        <v>1</v>
      </c>
      <c r="F14" s="17">
        <v>30000</v>
      </c>
      <c r="G14" s="18">
        <v>30000</v>
      </c>
    </row>
    <row r="15" spans="1:7" x14ac:dyDescent="0.35">
      <c r="A15" s="14">
        <v>11</v>
      </c>
      <c r="B15" s="5" t="s">
        <v>43</v>
      </c>
      <c r="C15" s="5"/>
      <c r="D15" s="41" t="s">
        <v>48</v>
      </c>
      <c r="E15" s="41">
        <v>1</v>
      </c>
      <c r="F15" s="17">
        <v>30000</v>
      </c>
      <c r="G15" s="18">
        <v>30000</v>
      </c>
    </row>
    <row r="16" spans="1:7" x14ac:dyDescent="0.35">
      <c r="A16" s="14">
        <v>12</v>
      </c>
      <c r="B16" s="5" t="s">
        <v>44</v>
      </c>
      <c r="C16" s="5"/>
      <c r="D16" s="41">
        <v>1</v>
      </c>
      <c r="E16" s="41">
        <v>1</v>
      </c>
      <c r="F16" s="17">
        <v>767678</v>
      </c>
      <c r="G16" s="18">
        <v>767678</v>
      </c>
    </row>
    <row r="17" spans="1:7" x14ac:dyDescent="0.35">
      <c r="A17" s="14">
        <v>13</v>
      </c>
      <c r="B17" s="5" t="s">
        <v>45</v>
      </c>
      <c r="C17" s="5"/>
      <c r="D17" s="41">
        <v>1</v>
      </c>
      <c r="E17" s="41">
        <v>1</v>
      </c>
      <c r="F17" s="17">
        <v>125000</v>
      </c>
      <c r="G17" s="18">
        <v>125000</v>
      </c>
    </row>
    <row r="18" spans="1:7" s="22" customFormat="1" x14ac:dyDescent="0.35">
      <c r="A18" s="19" t="s">
        <v>55</v>
      </c>
      <c r="B18" s="20"/>
      <c r="C18" s="20"/>
      <c r="D18" s="20"/>
      <c r="E18" s="20"/>
      <c r="F18" s="20"/>
      <c r="G18" s="21">
        <f>SUM(G5:G17)</f>
        <v>3106836</v>
      </c>
    </row>
    <row r="19" spans="1:7" x14ac:dyDescent="0.35">
      <c r="A19" s="14"/>
      <c r="B19" s="5"/>
      <c r="C19" s="5"/>
      <c r="D19" s="5"/>
      <c r="E19" s="5"/>
      <c r="F19" s="5"/>
      <c r="G19" s="6"/>
    </row>
    <row r="20" spans="1:7" x14ac:dyDescent="0.35">
      <c r="A20" s="36" t="s">
        <v>72</v>
      </c>
      <c r="B20" s="32"/>
      <c r="C20" s="32"/>
      <c r="D20" s="32" t="s">
        <v>46</v>
      </c>
      <c r="E20" s="32" t="s">
        <v>51</v>
      </c>
      <c r="F20" s="32" t="s">
        <v>53</v>
      </c>
      <c r="G20" s="33" t="s">
        <v>54</v>
      </c>
    </row>
    <row r="21" spans="1:7" x14ac:dyDescent="0.35">
      <c r="A21" s="14">
        <v>1</v>
      </c>
      <c r="B21" s="5" t="s">
        <v>56</v>
      </c>
      <c r="C21" s="5"/>
      <c r="D21" s="41" t="s">
        <v>73</v>
      </c>
      <c r="E21" s="41">
        <v>800</v>
      </c>
      <c r="F21" s="17">
        <v>8000000</v>
      </c>
      <c r="G21" s="18">
        <v>8000000</v>
      </c>
    </row>
    <row r="22" spans="1:7" x14ac:dyDescent="0.35">
      <c r="A22" s="14">
        <v>2</v>
      </c>
      <c r="B22" s="5" t="s">
        <v>57</v>
      </c>
      <c r="C22" s="5"/>
      <c r="D22" s="41" t="s">
        <v>74</v>
      </c>
      <c r="E22" s="41">
        <v>1</v>
      </c>
      <c r="F22" s="17">
        <v>2500000</v>
      </c>
      <c r="G22" s="18">
        <v>2500000</v>
      </c>
    </row>
    <row r="23" spans="1:7" x14ac:dyDescent="0.35">
      <c r="A23" s="14">
        <v>3</v>
      </c>
      <c r="B23" s="5" t="s">
        <v>58</v>
      </c>
      <c r="C23" s="5"/>
      <c r="D23" s="41" t="s">
        <v>74</v>
      </c>
      <c r="E23" s="41">
        <v>2</v>
      </c>
      <c r="F23" s="17">
        <v>17000</v>
      </c>
      <c r="G23" s="18">
        <v>34000</v>
      </c>
    </row>
    <row r="24" spans="1:7" x14ac:dyDescent="0.35">
      <c r="A24" s="14">
        <v>4</v>
      </c>
      <c r="B24" s="5" t="s">
        <v>59</v>
      </c>
      <c r="C24" s="5"/>
      <c r="D24" s="41">
        <v>2</v>
      </c>
      <c r="E24" s="41">
        <v>1</v>
      </c>
      <c r="F24" s="17">
        <v>700000</v>
      </c>
      <c r="G24" s="18">
        <v>700000</v>
      </c>
    </row>
    <row r="25" spans="1:7" x14ac:dyDescent="0.35">
      <c r="A25" s="14">
        <v>5</v>
      </c>
      <c r="B25" s="5" t="s">
        <v>60</v>
      </c>
      <c r="C25" s="5"/>
      <c r="D25" s="41">
        <v>1</v>
      </c>
      <c r="E25" s="41">
        <v>1</v>
      </c>
      <c r="F25" s="17">
        <v>1000000</v>
      </c>
      <c r="G25" s="18">
        <v>1000000</v>
      </c>
    </row>
    <row r="26" spans="1:7" x14ac:dyDescent="0.35">
      <c r="A26" s="14">
        <v>6</v>
      </c>
      <c r="B26" s="5" t="s">
        <v>61</v>
      </c>
      <c r="C26" s="5"/>
      <c r="D26" s="41" t="s">
        <v>75</v>
      </c>
      <c r="E26" s="41">
        <v>1</v>
      </c>
      <c r="F26" s="17">
        <v>1160000</v>
      </c>
      <c r="G26" s="18">
        <v>1160000</v>
      </c>
    </row>
    <row r="27" spans="1:7" x14ac:dyDescent="0.35">
      <c r="A27" s="14">
        <v>7</v>
      </c>
      <c r="B27" s="5" t="s">
        <v>62</v>
      </c>
      <c r="C27" s="5"/>
      <c r="D27" s="41" t="s">
        <v>75</v>
      </c>
      <c r="E27" s="41">
        <v>1</v>
      </c>
      <c r="F27" s="17">
        <v>185000</v>
      </c>
      <c r="G27" s="18">
        <v>185000</v>
      </c>
    </row>
    <row r="28" spans="1:7" x14ac:dyDescent="0.35">
      <c r="A28" s="14">
        <v>8</v>
      </c>
      <c r="B28" s="5" t="s">
        <v>63</v>
      </c>
      <c r="C28" s="5"/>
      <c r="D28" s="41" t="s">
        <v>76</v>
      </c>
      <c r="E28" s="41">
        <v>1000</v>
      </c>
      <c r="F28" s="17">
        <v>250</v>
      </c>
      <c r="G28" s="18">
        <v>250000</v>
      </c>
    </row>
    <row r="29" spans="1:7" x14ac:dyDescent="0.35">
      <c r="A29" s="14">
        <v>9</v>
      </c>
      <c r="B29" s="5" t="s">
        <v>64</v>
      </c>
      <c r="C29" s="5"/>
      <c r="D29" s="41" t="s">
        <v>77</v>
      </c>
      <c r="E29" s="41">
        <v>1</v>
      </c>
      <c r="F29" s="17">
        <v>2500000</v>
      </c>
      <c r="G29" s="18">
        <v>2500000</v>
      </c>
    </row>
    <row r="30" spans="1:7" x14ac:dyDescent="0.35">
      <c r="A30" s="14">
        <v>10</v>
      </c>
      <c r="B30" s="5" t="s">
        <v>65</v>
      </c>
      <c r="C30" s="5"/>
      <c r="D30" s="41" t="s">
        <v>78</v>
      </c>
      <c r="E30" s="41">
        <v>1</v>
      </c>
      <c r="F30" s="17">
        <v>18000</v>
      </c>
      <c r="G30" s="18">
        <v>972000</v>
      </c>
    </row>
    <row r="31" spans="1:7" x14ac:dyDescent="0.35">
      <c r="A31" s="14">
        <v>11</v>
      </c>
      <c r="B31" s="5" t="s">
        <v>66</v>
      </c>
      <c r="C31" s="5"/>
      <c r="D31" s="41">
        <v>1</v>
      </c>
      <c r="E31" s="41"/>
      <c r="F31" s="17">
        <v>300000</v>
      </c>
      <c r="G31" s="18">
        <v>300000</v>
      </c>
    </row>
    <row r="32" spans="1:7" x14ac:dyDescent="0.35">
      <c r="A32" s="14">
        <v>12</v>
      </c>
      <c r="B32" s="5" t="s">
        <v>67</v>
      </c>
      <c r="C32" s="5"/>
      <c r="D32" s="41" t="s">
        <v>79</v>
      </c>
      <c r="E32" s="41">
        <v>1</v>
      </c>
      <c r="F32" s="17">
        <v>2000000</v>
      </c>
      <c r="G32" s="18">
        <v>2000000</v>
      </c>
    </row>
    <row r="33" spans="1:7" x14ac:dyDescent="0.35">
      <c r="A33" s="14">
        <v>13</v>
      </c>
      <c r="B33" s="5" t="s">
        <v>68</v>
      </c>
      <c r="C33" s="5"/>
      <c r="D33" s="41">
        <v>1</v>
      </c>
      <c r="E33" s="41">
        <v>1</v>
      </c>
      <c r="F33" s="17">
        <v>2000000</v>
      </c>
      <c r="G33" s="18">
        <v>2000000</v>
      </c>
    </row>
    <row r="34" spans="1:7" x14ac:dyDescent="0.35">
      <c r="A34" s="14">
        <v>14</v>
      </c>
      <c r="B34" s="5" t="s">
        <v>69</v>
      </c>
      <c r="C34" s="5"/>
      <c r="D34" s="41">
        <v>1</v>
      </c>
      <c r="E34" s="41">
        <v>1</v>
      </c>
      <c r="F34" s="17">
        <v>390142</v>
      </c>
      <c r="G34" s="18">
        <v>390142</v>
      </c>
    </row>
    <row r="35" spans="1:7" x14ac:dyDescent="0.35">
      <c r="A35" s="14">
        <v>15</v>
      </c>
      <c r="B35" s="5" t="s">
        <v>70</v>
      </c>
      <c r="C35" s="5"/>
      <c r="D35" s="41">
        <v>1</v>
      </c>
      <c r="E35" s="41">
        <v>1</v>
      </c>
      <c r="F35" s="17">
        <v>150000</v>
      </c>
      <c r="G35" s="18">
        <v>150000</v>
      </c>
    </row>
    <row r="36" spans="1:7" x14ac:dyDescent="0.35">
      <c r="A36" s="14">
        <v>16</v>
      </c>
      <c r="B36" s="5" t="s">
        <v>71</v>
      </c>
      <c r="C36" s="5"/>
      <c r="D36" s="41">
        <v>1</v>
      </c>
      <c r="E36" s="41">
        <v>1</v>
      </c>
      <c r="F36" s="17">
        <v>250000</v>
      </c>
      <c r="G36" s="18">
        <v>250000</v>
      </c>
    </row>
    <row r="37" spans="1:7" s="22" customFormat="1" x14ac:dyDescent="0.35">
      <c r="A37" s="19" t="s">
        <v>80</v>
      </c>
      <c r="B37" s="20"/>
      <c r="C37" s="20"/>
      <c r="D37" s="20"/>
      <c r="E37" s="20"/>
      <c r="F37" s="20"/>
      <c r="G37" s="21">
        <f>SUM(G21:G36)</f>
        <v>22391142</v>
      </c>
    </row>
    <row r="38" spans="1:7" x14ac:dyDescent="0.35">
      <c r="A38" s="14"/>
      <c r="B38" s="5"/>
      <c r="C38" s="5"/>
      <c r="D38" s="5"/>
      <c r="E38" s="5"/>
      <c r="F38" s="5"/>
      <c r="G38" s="6"/>
    </row>
    <row r="39" spans="1:7" s="22" customFormat="1" x14ac:dyDescent="0.35">
      <c r="A39" s="19" t="s">
        <v>81</v>
      </c>
      <c r="B39" s="20"/>
      <c r="C39" s="20"/>
      <c r="D39" s="20"/>
      <c r="E39" s="20"/>
      <c r="F39" s="20"/>
      <c r="G39" s="21">
        <f>G37+G18</f>
        <v>25497978</v>
      </c>
    </row>
    <row r="40" spans="1:7" x14ac:dyDescent="0.35">
      <c r="G40" s="16"/>
    </row>
    <row r="41" spans="1:7" x14ac:dyDescent="0.35">
      <c r="G41" s="16"/>
    </row>
    <row r="42" spans="1:7" x14ac:dyDescent="0.35">
      <c r="G42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6FA6-76E6-4673-8AD3-A2A7C9EA52B0}">
  <sheetPr>
    <pageSetUpPr fitToPage="1"/>
  </sheetPr>
  <dimension ref="A1:K37"/>
  <sheetViews>
    <sheetView topLeftCell="C17" workbookViewId="0">
      <selection activeCell="H25" sqref="H25:K25"/>
    </sheetView>
  </sheetViews>
  <sheetFormatPr defaultRowHeight="14.5" x14ac:dyDescent="0.35"/>
  <cols>
    <col min="2" max="2" width="54.1796875" bestFit="1" customWidth="1"/>
    <col min="3" max="11" width="13.6328125" bestFit="1" customWidth="1"/>
  </cols>
  <sheetData>
    <row r="1" spans="1:11" x14ac:dyDescent="0.35">
      <c r="A1" s="22" t="s">
        <v>82</v>
      </c>
    </row>
    <row r="3" spans="1:11" x14ac:dyDescent="0.35">
      <c r="A3" s="39" t="s">
        <v>83</v>
      </c>
      <c r="B3" s="39" t="s">
        <v>84</v>
      </c>
      <c r="C3" s="83" t="s">
        <v>94</v>
      </c>
      <c r="D3" s="83"/>
      <c r="E3" s="83"/>
      <c r="F3" s="83"/>
      <c r="G3" s="83"/>
      <c r="H3" s="83"/>
      <c r="I3" s="83"/>
      <c r="J3" s="83"/>
      <c r="K3" s="83"/>
    </row>
    <row r="4" spans="1:11" x14ac:dyDescent="0.35">
      <c r="A4" s="39"/>
      <c r="B4" s="39"/>
      <c r="C4" s="39" t="s">
        <v>85</v>
      </c>
      <c r="D4" s="39" t="s">
        <v>86</v>
      </c>
      <c r="E4" s="39" t="s">
        <v>87</v>
      </c>
      <c r="F4" s="39" t="s">
        <v>88</v>
      </c>
      <c r="G4" s="39" t="s">
        <v>89</v>
      </c>
      <c r="H4" s="39" t="s">
        <v>90</v>
      </c>
      <c r="I4" s="39" t="s">
        <v>91</v>
      </c>
      <c r="J4" s="39" t="s">
        <v>92</v>
      </c>
      <c r="K4" s="39" t="s">
        <v>93</v>
      </c>
    </row>
    <row r="5" spans="1:11" x14ac:dyDescent="0.35">
      <c r="A5" s="12"/>
      <c r="B5" s="12" t="s">
        <v>95</v>
      </c>
      <c r="C5" s="12">
        <v>12</v>
      </c>
      <c r="D5" s="12">
        <v>12</v>
      </c>
      <c r="E5" s="12">
        <v>12</v>
      </c>
      <c r="F5" s="12">
        <v>12</v>
      </c>
      <c r="G5" s="12">
        <v>12</v>
      </c>
      <c r="H5" s="12">
        <v>12</v>
      </c>
      <c r="I5" s="12">
        <v>12</v>
      </c>
      <c r="J5" s="12">
        <v>12</v>
      </c>
      <c r="K5" s="12">
        <v>12</v>
      </c>
    </row>
    <row r="6" spans="1:11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3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35">
      <c r="A8" s="12"/>
      <c r="B8" s="12" t="s">
        <v>97</v>
      </c>
      <c r="C8" s="43">
        <f>'Ann 8'!E9</f>
        <v>1272000</v>
      </c>
      <c r="D8" s="43">
        <f>1.06*C8</f>
        <v>1348320</v>
      </c>
      <c r="E8" s="43">
        <f t="shared" ref="E8:K8" si="0">1.06*D8</f>
        <v>1429219.2000000002</v>
      </c>
      <c r="F8" s="43">
        <f t="shared" si="0"/>
        <v>1514972.3520000002</v>
      </c>
      <c r="G8" s="43">
        <f t="shared" si="0"/>
        <v>1605870.6931200002</v>
      </c>
      <c r="H8" s="43">
        <f t="shared" si="0"/>
        <v>1702222.9347072004</v>
      </c>
      <c r="I8" s="43">
        <f t="shared" si="0"/>
        <v>1804356.3107896326</v>
      </c>
      <c r="J8" s="43">
        <f t="shared" si="0"/>
        <v>1912617.6894370106</v>
      </c>
      <c r="K8" s="43">
        <f t="shared" si="0"/>
        <v>2027374.7508032313</v>
      </c>
    </row>
    <row r="9" spans="1:11" x14ac:dyDescent="0.35">
      <c r="A9" s="12"/>
      <c r="B9" s="12" t="s">
        <v>215</v>
      </c>
      <c r="C9" s="43">
        <f>90000+C34</f>
        <v>330000</v>
      </c>
      <c r="D9" s="43">
        <f t="shared" ref="D9:K9" si="1">90000+D34</f>
        <v>342000</v>
      </c>
      <c r="E9" s="43">
        <f t="shared" si="1"/>
        <v>354600</v>
      </c>
      <c r="F9" s="43">
        <f t="shared" si="1"/>
        <v>367830</v>
      </c>
      <c r="G9" s="43">
        <f t="shared" si="1"/>
        <v>381721.5</v>
      </c>
      <c r="H9" s="43">
        <f t="shared" si="1"/>
        <v>396307.57500000001</v>
      </c>
      <c r="I9" s="43">
        <f t="shared" si="1"/>
        <v>396307.57500000001</v>
      </c>
      <c r="J9" s="43">
        <f t="shared" si="1"/>
        <v>396307.57500000001</v>
      </c>
      <c r="K9" s="43">
        <f t="shared" si="1"/>
        <v>396307.57500000001</v>
      </c>
    </row>
    <row r="10" spans="1:11" x14ac:dyDescent="0.35">
      <c r="A10" s="12"/>
      <c r="B10" s="12" t="s">
        <v>214</v>
      </c>
      <c r="C10" s="43">
        <v>200000</v>
      </c>
      <c r="D10" s="43">
        <f>C10*1.02</f>
        <v>204000</v>
      </c>
      <c r="E10" s="43">
        <f t="shared" ref="E10:K10" si="2">D10*1.02</f>
        <v>208080</v>
      </c>
      <c r="F10" s="43">
        <f t="shared" si="2"/>
        <v>212241.6</v>
      </c>
      <c r="G10" s="43">
        <f t="shared" si="2"/>
        <v>216486.432</v>
      </c>
      <c r="H10" s="43">
        <f t="shared" si="2"/>
        <v>220816.16064000002</v>
      </c>
      <c r="I10" s="43">
        <f t="shared" si="2"/>
        <v>225232.48385280001</v>
      </c>
      <c r="J10" s="43">
        <f t="shared" si="2"/>
        <v>229737.13352985602</v>
      </c>
      <c r="K10" s="43">
        <f t="shared" si="2"/>
        <v>234331.87620045315</v>
      </c>
    </row>
    <row r="11" spans="1:11" x14ac:dyDescent="0.35">
      <c r="A11" s="12"/>
      <c r="B11" s="12" t="s">
        <v>8</v>
      </c>
      <c r="C11" s="43">
        <f t="shared" ref="C11:K11" si="3">SUM(C8:C10)</f>
        <v>1802000</v>
      </c>
      <c r="D11" s="43">
        <f t="shared" si="3"/>
        <v>1894320</v>
      </c>
      <c r="E11" s="43">
        <f t="shared" si="3"/>
        <v>1991899.2000000002</v>
      </c>
      <c r="F11" s="43">
        <f t="shared" si="3"/>
        <v>2095043.9520000003</v>
      </c>
      <c r="G11" s="43">
        <f t="shared" si="3"/>
        <v>2204078.62512</v>
      </c>
      <c r="H11" s="43">
        <f t="shared" si="3"/>
        <v>2319346.6703472002</v>
      </c>
      <c r="I11" s="43">
        <f t="shared" si="3"/>
        <v>2425896.3696424328</v>
      </c>
      <c r="J11" s="43">
        <f t="shared" si="3"/>
        <v>2538662.3979668664</v>
      </c>
      <c r="K11" s="43">
        <f t="shared" si="3"/>
        <v>2658014.2020036848</v>
      </c>
    </row>
    <row r="12" spans="1:11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x14ac:dyDescent="0.35">
      <c r="A13" s="12"/>
      <c r="B13" s="12" t="s">
        <v>140</v>
      </c>
      <c r="C13" s="43">
        <f>C11</f>
        <v>1802000</v>
      </c>
      <c r="D13" s="43">
        <f t="shared" ref="D13:K13" si="4">D11</f>
        <v>1894320</v>
      </c>
      <c r="E13" s="43">
        <f t="shared" si="4"/>
        <v>1991899.2000000002</v>
      </c>
      <c r="F13" s="43">
        <f t="shared" si="4"/>
        <v>2095043.9520000003</v>
      </c>
      <c r="G13" s="43">
        <f t="shared" si="4"/>
        <v>2204078.62512</v>
      </c>
      <c r="H13" s="43">
        <f t="shared" si="4"/>
        <v>2319346.6703472002</v>
      </c>
      <c r="I13" s="43">
        <f t="shared" si="4"/>
        <v>2425896.3696424328</v>
      </c>
      <c r="J13" s="43">
        <f t="shared" si="4"/>
        <v>2538662.3979668664</v>
      </c>
      <c r="K13" s="43">
        <f t="shared" si="4"/>
        <v>2658014.2020036848</v>
      </c>
    </row>
    <row r="14" spans="1:11" x14ac:dyDescent="0.35">
      <c r="A14" s="12"/>
      <c r="B14" s="12" t="s">
        <v>141</v>
      </c>
      <c r="C14" s="43">
        <f>5021.78*8*1000*75%</f>
        <v>30130680</v>
      </c>
      <c r="D14" s="43">
        <f>(C14/75%)*80%*1.055</f>
        <v>33907058.559999995</v>
      </c>
      <c r="E14" s="43">
        <f>(D14/80%)*85%*1.055</f>
        <v>38007693.454599991</v>
      </c>
      <c r="F14" s="43">
        <f>(E14/85%)*90%*1.055</f>
        <v>42456829.335461989</v>
      </c>
      <c r="G14" s="43">
        <f>(F14/90%)*95%*1.055</f>
        <v>47280396.890518636</v>
      </c>
      <c r="H14" s="43">
        <f>(G14/95%)*1.055</f>
        <v>52506124.967891745</v>
      </c>
      <c r="I14" s="43">
        <f>H14*1.055</f>
        <v>55393961.841125786</v>
      </c>
      <c r="J14" s="43">
        <f>I14*1.055</f>
        <v>58440629.742387705</v>
      </c>
      <c r="K14" s="43">
        <f>J14*1.055</f>
        <v>61654864.378219023</v>
      </c>
    </row>
    <row r="15" spans="1:11" x14ac:dyDescent="0.35">
      <c r="A15" s="12"/>
      <c r="B15" s="12" t="s">
        <v>142</v>
      </c>
      <c r="C15" s="43">
        <f>C14-C13</f>
        <v>28328680</v>
      </c>
      <c r="D15" s="43">
        <f t="shared" ref="D15:K15" si="5">D14-D13</f>
        <v>32012738.559999995</v>
      </c>
      <c r="E15" s="43">
        <f t="shared" si="5"/>
        <v>36015794.254599988</v>
      </c>
      <c r="F15" s="43">
        <f t="shared" si="5"/>
        <v>40361785.383461989</v>
      </c>
      <c r="G15" s="43">
        <f t="shared" si="5"/>
        <v>45076318.265398636</v>
      </c>
      <c r="H15" s="43">
        <f t="shared" si="5"/>
        <v>50186778.297544546</v>
      </c>
      <c r="I15" s="43">
        <f t="shared" si="5"/>
        <v>52968065.47148335</v>
      </c>
      <c r="J15" s="43">
        <f t="shared" si="5"/>
        <v>55901967.344420835</v>
      </c>
      <c r="K15" s="43">
        <f t="shared" si="5"/>
        <v>58996850.176215336</v>
      </c>
    </row>
    <row r="16" spans="1:11" x14ac:dyDescent="0.35">
      <c r="A16" s="12"/>
      <c r="B16" s="12"/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35">
      <c r="A17" s="12"/>
      <c r="B17" s="12" t="s">
        <v>143</v>
      </c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35">
      <c r="A18" s="12"/>
      <c r="B18" s="12" t="s">
        <v>144</v>
      </c>
      <c r="C18" s="43">
        <f>SUM('Ann 13'!E10:E13)*100000</f>
        <v>850529.99999999988</v>
      </c>
      <c r="D18" s="43">
        <f>SUM('Ann 13'!E14:E17)*100000</f>
        <v>743279.99999999988</v>
      </c>
      <c r="E18" s="43">
        <f>SUM('Ann 13'!E18:E21)*100000</f>
        <v>611279.99999999988</v>
      </c>
      <c r="F18" s="43">
        <f>SUM('Ann 13'!E22:E25)*100000</f>
        <v>479280</v>
      </c>
      <c r="G18" s="43">
        <f>SUM('Ann 13'!E26:E29)*100000</f>
        <v>347280</v>
      </c>
      <c r="H18" s="43">
        <f>SUM('Ann 13'!E30:E33)*100000</f>
        <v>173834.99999999997</v>
      </c>
      <c r="I18" s="43">
        <f>SUM('Ann 13'!E34:E37)*100000</f>
        <v>0</v>
      </c>
      <c r="J18" s="43">
        <v>0</v>
      </c>
      <c r="K18" s="43">
        <v>0</v>
      </c>
    </row>
    <row r="19" spans="1:11" x14ac:dyDescent="0.35">
      <c r="A19" s="12"/>
      <c r="B19" s="12" t="s">
        <v>227</v>
      </c>
      <c r="C19" s="43">
        <f>'Ann 2'!$C$7*100000*10%</f>
        <v>53700</v>
      </c>
      <c r="D19" s="43">
        <f>'Ann 2'!$C$7*100000*10%</f>
        <v>53700</v>
      </c>
      <c r="E19" s="43">
        <f>'Ann 2'!$C$7*100000*10%</f>
        <v>53700</v>
      </c>
      <c r="F19" s="43">
        <f>'Ann 2'!$C$7*100000*10%</f>
        <v>53700</v>
      </c>
      <c r="G19" s="43">
        <f>'Ann 2'!$C$7*100000*10%</f>
        <v>53700</v>
      </c>
      <c r="H19" s="43">
        <f>'Ann 2'!$C$7*100000*10%</f>
        <v>53700</v>
      </c>
      <c r="I19" s="43">
        <f>'Ann 2'!$C$7*100000*10%</f>
        <v>53700</v>
      </c>
      <c r="J19" s="43">
        <f>'Ann 2'!$C$7*100000*10%</f>
        <v>53700</v>
      </c>
      <c r="K19" s="43">
        <f>'Ann 2'!$C$7*100000*10%</f>
        <v>53700</v>
      </c>
    </row>
    <row r="20" spans="1:11" x14ac:dyDescent="0.35">
      <c r="A20" s="12"/>
      <c r="B20" s="44" t="s">
        <v>154</v>
      </c>
      <c r="C20" s="43">
        <f>SUM(C18:C19)</f>
        <v>904229.99999999988</v>
      </c>
      <c r="D20" s="43">
        <f t="shared" ref="D20:K20" si="6">SUM(D18:D19)</f>
        <v>796979.99999999988</v>
      </c>
      <c r="E20" s="43">
        <f t="shared" si="6"/>
        <v>664979.99999999988</v>
      </c>
      <c r="F20" s="43">
        <f t="shared" si="6"/>
        <v>532980</v>
      </c>
      <c r="G20" s="43">
        <f t="shared" si="6"/>
        <v>400980</v>
      </c>
      <c r="H20" s="43">
        <f t="shared" si="6"/>
        <v>227534.99999999997</v>
      </c>
      <c r="I20" s="43">
        <f t="shared" si="6"/>
        <v>53700</v>
      </c>
      <c r="J20" s="43">
        <f t="shared" si="6"/>
        <v>53700</v>
      </c>
      <c r="K20" s="43">
        <f t="shared" si="6"/>
        <v>53700</v>
      </c>
    </row>
    <row r="21" spans="1:11" x14ac:dyDescent="0.3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35">
      <c r="A22" s="12"/>
      <c r="B22" s="12" t="s">
        <v>155</v>
      </c>
      <c r="C22" s="43">
        <f t="shared" ref="C22:K22" si="7">C15-C20</f>
        <v>27424450</v>
      </c>
      <c r="D22" s="43">
        <f t="shared" si="7"/>
        <v>31215758.559999995</v>
      </c>
      <c r="E22" s="43">
        <f t="shared" si="7"/>
        <v>35350814.254599988</v>
      </c>
      <c r="F22" s="43">
        <f t="shared" si="7"/>
        <v>39828805.383461989</v>
      </c>
      <c r="G22" s="43">
        <f t="shared" si="7"/>
        <v>44675338.265398636</v>
      </c>
      <c r="H22" s="43">
        <f t="shared" si="7"/>
        <v>49959243.297544546</v>
      </c>
      <c r="I22" s="43">
        <f t="shared" si="7"/>
        <v>52914365.47148335</v>
      </c>
      <c r="J22" s="43">
        <f t="shared" si="7"/>
        <v>55848267.344420835</v>
      </c>
      <c r="K22" s="43">
        <f t="shared" si="7"/>
        <v>58943150.176215336</v>
      </c>
    </row>
    <row r="23" spans="1:11" x14ac:dyDescent="0.35">
      <c r="A23" s="12"/>
      <c r="B23" s="44" t="s">
        <v>156</v>
      </c>
      <c r="C23" s="43">
        <f>'Ann 9'!C13+'Ann 9'!D13+'Ann 9'!E13</f>
        <v>1596300</v>
      </c>
      <c r="D23" s="43">
        <f>'Ann 9'!C14+'Ann 9'!D14+'Ann 9'!E14</f>
        <v>1436670</v>
      </c>
      <c r="E23" s="43">
        <f>'Ann 9'!C15+'Ann 9'!D15+'Ann 9'!E15</f>
        <v>1293003</v>
      </c>
      <c r="F23" s="43">
        <f>'Ann 9'!C16+'Ann 9'!D16+'Ann 9'!E16</f>
        <v>1163702.7</v>
      </c>
      <c r="G23" s="43">
        <f>'Ann 9'!C17+'Ann 9'!D17+'Ann 9'!E17</f>
        <v>1047332.4300000002</v>
      </c>
      <c r="H23" s="43">
        <f>'Ann 9'!C18+'Ann 9'!D18+'Ann 9'!E18</f>
        <v>942599.18700000015</v>
      </c>
      <c r="I23" s="43">
        <f>'Ann 9'!C19+'Ann 9'!D19+'Ann 9'!E19</f>
        <v>848339.26830000011</v>
      </c>
      <c r="J23" s="43">
        <f>'Ann 9'!C20+'Ann 9'!D20+'Ann 9'!E20</f>
        <v>763505.34146999998</v>
      </c>
      <c r="K23" s="43">
        <f>'Ann 9'!C21+'Ann 9'!D21+'Ann 9'!E21</f>
        <v>687154.80732299993</v>
      </c>
    </row>
    <row r="24" spans="1:11" x14ac:dyDescent="0.35">
      <c r="A24" s="12"/>
      <c r="B24" s="44" t="s">
        <v>284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f>'Ann 13'!D5*100000</f>
        <v>3300000</v>
      </c>
      <c r="I24" s="43">
        <v>0</v>
      </c>
      <c r="J24" s="43">
        <v>0</v>
      </c>
      <c r="K24" s="43">
        <v>0</v>
      </c>
    </row>
    <row r="25" spans="1:11" x14ac:dyDescent="0.35">
      <c r="A25" s="12"/>
      <c r="B25" s="44" t="s">
        <v>157</v>
      </c>
      <c r="C25" s="43">
        <f>C22-C23</f>
        <v>25828150</v>
      </c>
      <c r="D25" s="43">
        <f t="shared" ref="D25:G25" si="8">D22-D23</f>
        <v>29779088.559999995</v>
      </c>
      <c r="E25" s="43">
        <f t="shared" si="8"/>
        <v>34057811.254599988</v>
      </c>
      <c r="F25" s="43">
        <f t="shared" si="8"/>
        <v>38665102.683461986</v>
      </c>
      <c r="G25" s="43">
        <f t="shared" si="8"/>
        <v>43628005.835398637</v>
      </c>
      <c r="H25" s="43">
        <f>H22-H23+H24</f>
        <v>52316644.110544547</v>
      </c>
      <c r="I25" s="43">
        <f t="shared" ref="I25:K25" si="9">I22-I23+I24</f>
        <v>52066026.203183353</v>
      </c>
      <c r="J25" s="43">
        <f t="shared" si="9"/>
        <v>55084762.002950832</v>
      </c>
      <c r="K25" s="43">
        <f t="shared" si="9"/>
        <v>58255995.368892334</v>
      </c>
    </row>
    <row r="26" spans="1:11" x14ac:dyDescent="0.35">
      <c r="A26" s="12"/>
      <c r="B26" s="44" t="s">
        <v>158</v>
      </c>
      <c r="C26" s="43">
        <f>'Ann 10'!B14</f>
        <v>7748445</v>
      </c>
      <c r="D26" s="43">
        <f>'Ann 10'!C14</f>
        <v>8933726.5679999981</v>
      </c>
      <c r="E26" s="43">
        <f>'Ann 10'!D14</f>
        <v>10217343.376379997</v>
      </c>
      <c r="F26" s="43">
        <f>'Ann 10'!E14</f>
        <v>11599530.805038596</v>
      </c>
      <c r="G26" s="43">
        <f>'Ann 10'!F14</f>
        <v>13088401.75061959</v>
      </c>
      <c r="H26" s="43">
        <f>'Ann 10'!G14</f>
        <v>14704993.233163364</v>
      </c>
      <c r="I26" s="43">
        <f>'Ann 10'!H14</f>
        <v>15619807.860955006</v>
      </c>
      <c r="J26" s="43">
        <f>'Ann 10'!I14</f>
        <v>16525428.60088525</v>
      </c>
      <c r="K26" s="43">
        <f>'Ann 10'!J14</f>
        <v>17476798.610667698</v>
      </c>
    </row>
    <row r="27" spans="1:11" x14ac:dyDescent="0.35">
      <c r="A27" s="12"/>
      <c r="B27" s="44" t="s">
        <v>159</v>
      </c>
      <c r="C27" s="43">
        <f>C25-C26</f>
        <v>18079705</v>
      </c>
      <c r="D27" s="43">
        <f>D25-D26</f>
        <v>20845361.991999999</v>
      </c>
      <c r="E27" s="43">
        <f t="shared" ref="E27:K27" si="10">E25-E26</f>
        <v>23840467.878219992</v>
      </c>
      <c r="F27" s="43">
        <f t="shared" si="10"/>
        <v>27065571.878423393</v>
      </c>
      <c r="G27" s="43">
        <f t="shared" si="10"/>
        <v>30539604.084779046</v>
      </c>
      <c r="H27" s="43">
        <f t="shared" si="10"/>
        <v>37611650.877381183</v>
      </c>
      <c r="I27" s="43">
        <f t="shared" si="10"/>
        <v>36446218.342228346</v>
      </c>
      <c r="J27" s="43">
        <f t="shared" si="10"/>
        <v>38559333.402065583</v>
      </c>
      <c r="K27" s="43">
        <f t="shared" si="10"/>
        <v>40779196.758224636</v>
      </c>
    </row>
    <row r="28" spans="1:11" x14ac:dyDescent="0.35">
      <c r="A28" s="12"/>
      <c r="B28" s="44" t="s">
        <v>160</v>
      </c>
      <c r="C28" s="43">
        <f>C27*80%</f>
        <v>14463764</v>
      </c>
      <c r="D28" s="43">
        <f t="shared" ref="D28:K28" si="11">D27*80%</f>
        <v>16676289.593599999</v>
      </c>
      <c r="E28" s="43">
        <f t="shared" si="11"/>
        <v>19072374.302575994</v>
      </c>
      <c r="F28" s="43">
        <f t="shared" si="11"/>
        <v>21652457.502738714</v>
      </c>
      <c r="G28" s="43">
        <f t="shared" si="11"/>
        <v>24431683.267823238</v>
      </c>
      <c r="H28" s="43">
        <f t="shared" si="11"/>
        <v>30089320.701904949</v>
      </c>
      <c r="I28" s="43">
        <f t="shared" si="11"/>
        <v>29156974.673782676</v>
      </c>
      <c r="J28" s="43">
        <f t="shared" si="11"/>
        <v>30847466.721652467</v>
      </c>
      <c r="K28" s="43">
        <f t="shared" si="11"/>
        <v>32623357.406579711</v>
      </c>
    </row>
    <row r="29" spans="1:11" x14ac:dyDescent="0.35">
      <c r="A29" s="12"/>
      <c r="B29" s="44" t="s">
        <v>170</v>
      </c>
      <c r="C29" s="43">
        <f>C27-C28</f>
        <v>3615941</v>
      </c>
      <c r="D29" s="43">
        <f t="shared" ref="D29:K29" si="12">D27-D28</f>
        <v>4169072.3983999994</v>
      </c>
      <c r="E29" s="43">
        <f t="shared" si="12"/>
        <v>4768093.5756439976</v>
      </c>
      <c r="F29" s="43">
        <f t="shared" si="12"/>
        <v>5413114.3756846786</v>
      </c>
      <c r="G29" s="43">
        <f t="shared" si="12"/>
        <v>6107920.8169558086</v>
      </c>
      <c r="H29" s="43">
        <f t="shared" si="12"/>
        <v>7522330.1754762344</v>
      </c>
      <c r="I29" s="43">
        <f t="shared" si="12"/>
        <v>7289243.6684456691</v>
      </c>
      <c r="J29" s="43">
        <f t="shared" si="12"/>
        <v>7711866.6804131158</v>
      </c>
      <c r="K29" s="43">
        <f t="shared" si="12"/>
        <v>8155839.3516449258</v>
      </c>
    </row>
    <row r="31" spans="1:11" x14ac:dyDescent="0.35">
      <c r="A31" t="s">
        <v>242</v>
      </c>
    </row>
    <row r="32" spans="1:11" x14ac:dyDescent="0.35">
      <c r="A32" t="s">
        <v>213</v>
      </c>
    </row>
    <row r="33" spans="1:11" x14ac:dyDescent="0.35">
      <c r="B33" t="s">
        <v>245</v>
      </c>
      <c r="C33">
        <v>20000</v>
      </c>
      <c r="D33">
        <f>C33*1.05</f>
        <v>21000</v>
      </c>
      <c r="E33">
        <f>D33*1.05</f>
        <v>22050</v>
      </c>
      <c r="F33">
        <f>E33*1.05</f>
        <v>23152.5</v>
      </c>
      <c r="G33">
        <f>F33*1.05</f>
        <v>24310.125</v>
      </c>
      <c r="H33">
        <f t="shared" ref="H33" si="13">G33*1.05</f>
        <v>25525.631250000002</v>
      </c>
      <c r="I33">
        <f>H33</f>
        <v>25525.631250000002</v>
      </c>
      <c r="J33">
        <f t="shared" ref="J33:K33" si="14">I33</f>
        <v>25525.631250000002</v>
      </c>
      <c r="K33">
        <f t="shared" si="14"/>
        <v>25525.631250000002</v>
      </c>
    </row>
    <row r="34" spans="1:11" x14ac:dyDescent="0.35">
      <c r="B34" t="s">
        <v>121</v>
      </c>
      <c r="C34">
        <f>C33*12</f>
        <v>240000</v>
      </c>
      <c r="D34">
        <f t="shared" ref="D34:K34" si="15">D33*12</f>
        <v>252000</v>
      </c>
      <c r="E34">
        <f t="shared" si="15"/>
        <v>264600</v>
      </c>
      <c r="F34">
        <f t="shared" si="15"/>
        <v>277830</v>
      </c>
      <c r="G34">
        <f t="shared" si="15"/>
        <v>291721.5</v>
      </c>
      <c r="H34">
        <f t="shared" si="15"/>
        <v>306307.57500000001</v>
      </c>
      <c r="I34">
        <f t="shared" si="15"/>
        <v>306307.57500000001</v>
      </c>
      <c r="J34">
        <f t="shared" si="15"/>
        <v>306307.57500000001</v>
      </c>
      <c r="K34">
        <f t="shared" si="15"/>
        <v>306307.57500000001</v>
      </c>
    </row>
    <row r="35" spans="1:11" x14ac:dyDescent="0.35">
      <c r="A35" t="s">
        <v>219</v>
      </c>
    </row>
    <row r="36" spans="1:11" x14ac:dyDescent="0.35">
      <c r="A36" t="s">
        <v>279</v>
      </c>
    </row>
    <row r="37" spans="1:11" x14ac:dyDescent="0.35">
      <c r="A37" t="s">
        <v>278</v>
      </c>
    </row>
  </sheetData>
  <mergeCells count="1">
    <mergeCell ref="C3:K3"/>
  </mergeCells>
  <pageMargins left="0.7" right="0.7" top="0.75" bottom="0.75" header="0.3" footer="0.3"/>
  <pageSetup scale="65" orientation="landscape" r:id="rId1"/>
  <ignoredErrors>
    <ignoredError sqref="C18:D1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C10C-E414-4E29-98C1-5FAEC5C52CAE}">
  <sheetPr>
    <pageSetUpPr fitToPage="1"/>
  </sheetPr>
  <dimension ref="A1:M53"/>
  <sheetViews>
    <sheetView topLeftCell="A36" workbookViewId="0">
      <selection activeCell="A52" sqref="A52"/>
    </sheetView>
  </sheetViews>
  <sheetFormatPr defaultRowHeight="14.5" x14ac:dyDescent="0.35"/>
  <cols>
    <col min="2" max="2" width="28.26953125" customWidth="1"/>
    <col min="3" max="3" width="15.6328125" bestFit="1" customWidth="1"/>
    <col min="4" max="10" width="13.7265625" bestFit="1" customWidth="1"/>
    <col min="11" max="11" width="13.6328125" bestFit="1" customWidth="1"/>
    <col min="12" max="12" width="10" bestFit="1" customWidth="1"/>
  </cols>
  <sheetData>
    <row r="1" spans="1:11" x14ac:dyDescent="0.35">
      <c r="A1" s="22" t="s">
        <v>171</v>
      </c>
    </row>
    <row r="3" spans="1:11" x14ac:dyDescent="0.35">
      <c r="A3" t="s">
        <v>172</v>
      </c>
    </row>
    <row r="5" spans="1:11" x14ac:dyDescent="0.35">
      <c r="A5" s="84" t="s">
        <v>83</v>
      </c>
      <c r="B5" s="84" t="s">
        <v>84</v>
      </c>
      <c r="C5" s="84" t="s">
        <v>94</v>
      </c>
      <c r="D5" s="84"/>
      <c r="E5" s="84"/>
      <c r="F5" s="84"/>
      <c r="G5" s="84"/>
      <c r="H5" s="84"/>
      <c r="I5" s="84"/>
      <c r="J5" s="84"/>
      <c r="K5" s="84"/>
    </row>
    <row r="6" spans="1:11" x14ac:dyDescent="0.35">
      <c r="A6" s="84"/>
      <c r="B6" s="84"/>
      <c r="C6" s="34" t="s">
        <v>85</v>
      </c>
      <c r="D6" s="34" t="s">
        <v>86</v>
      </c>
      <c r="E6" s="34" t="s">
        <v>87</v>
      </c>
      <c r="F6" s="34" t="s">
        <v>88</v>
      </c>
      <c r="G6" s="34" t="s">
        <v>89</v>
      </c>
      <c r="H6" s="34" t="s">
        <v>90</v>
      </c>
      <c r="I6" s="34" t="s">
        <v>91</v>
      </c>
      <c r="J6" s="34" t="s">
        <v>92</v>
      </c>
      <c r="K6" s="34" t="s">
        <v>93</v>
      </c>
    </row>
    <row r="7" spans="1:11" x14ac:dyDescent="0.35">
      <c r="A7" s="46" t="s">
        <v>207</v>
      </c>
      <c r="B7" s="47" t="s">
        <v>173</v>
      </c>
      <c r="C7" s="58"/>
      <c r="D7" s="58"/>
      <c r="E7" s="49"/>
      <c r="F7" s="49"/>
      <c r="G7" s="49"/>
      <c r="H7" s="49"/>
      <c r="I7" s="49"/>
      <c r="J7" s="49"/>
      <c r="K7" s="49"/>
    </row>
    <row r="8" spans="1:11" x14ac:dyDescent="0.35">
      <c r="A8" s="14">
        <v>1</v>
      </c>
      <c r="B8" s="5" t="s">
        <v>174</v>
      </c>
      <c r="C8" s="9"/>
      <c r="D8" s="9"/>
      <c r="E8" s="6"/>
      <c r="F8" s="6"/>
      <c r="G8" s="6"/>
      <c r="H8" s="6"/>
      <c r="I8" s="6"/>
      <c r="J8" s="6"/>
      <c r="K8" s="6"/>
    </row>
    <row r="9" spans="1:11" x14ac:dyDescent="0.35">
      <c r="A9" s="14"/>
      <c r="B9" s="5" t="s">
        <v>175</v>
      </c>
      <c r="C9" s="59">
        <f>'Ann 9'!C6+'Ann 9'!D6+'Ann 9'!E6</f>
        <v>15963000</v>
      </c>
      <c r="D9" s="61">
        <f>C11</f>
        <v>14366700</v>
      </c>
      <c r="E9" s="27">
        <f t="shared" ref="E9:K9" si="0">D11</f>
        <v>12930030</v>
      </c>
      <c r="F9" s="27">
        <f t="shared" si="0"/>
        <v>11637027</v>
      </c>
      <c r="G9" s="27">
        <f t="shared" si="0"/>
        <v>10473324.300000001</v>
      </c>
      <c r="H9" s="27">
        <f t="shared" si="0"/>
        <v>9425991.870000001</v>
      </c>
      <c r="I9" s="27">
        <f t="shared" si="0"/>
        <v>8483392.6830000002</v>
      </c>
      <c r="J9" s="27">
        <f t="shared" si="0"/>
        <v>7635053.4146999996</v>
      </c>
      <c r="K9" s="27">
        <f t="shared" si="0"/>
        <v>6871548.0732299993</v>
      </c>
    </row>
    <row r="10" spans="1:11" x14ac:dyDescent="0.35">
      <c r="A10" s="14"/>
      <c r="B10" s="5" t="s">
        <v>176</v>
      </c>
      <c r="C10" s="59">
        <f>'Ann 9'!C13+'Ann 9'!D13+'Ann 9'!E13</f>
        <v>1596300</v>
      </c>
      <c r="D10" s="61">
        <f>'Ann 9'!C14+'Ann 9'!D14+'Ann 9'!E14</f>
        <v>1436670</v>
      </c>
      <c r="E10" s="27">
        <f>'Ann 9'!C15+'Ann 9'!D15+'Ann 9'!E15</f>
        <v>1293003</v>
      </c>
      <c r="F10" s="27">
        <f>'Ann 9'!C16+'Ann 9'!D16+'Ann 9'!E16</f>
        <v>1163702.7</v>
      </c>
      <c r="G10" s="27">
        <f>'Ann 9'!C17+'Ann 9'!D17+'Ann 9'!E17</f>
        <v>1047332.4300000002</v>
      </c>
      <c r="H10" s="27">
        <f>'Ann 9'!C18+'Ann 9'!D18+'Ann 9'!E18</f>
        <v>942599.18700000015</v>
      </c>
      <c r="I10" s="27">
        <f>+'Ann 9'!C19+'Ann 9'!D19+'Ann 9'!E19</f>
        <v>848339.26830000011</v>
      </c>
      <c r="J10" s="27">
        <f>'Ann 9'!C20+'Ann 9'!D20+'Ann 9'!E20</f>
        <v>763505.34146999998</v>
      </c>
      <c r="K10" s="27">
        <f>+'Ann 9'!C21+'Ann 9'!D21+'Ann 9'!E21</f>
        <v>687154.80732299993</v>
      </c>
    </row>
    <row r="11" spans="1:11" x14ac:dyDescent="0.35">
      <c r="A11" s="14"/>
      <c r="B11" s="5" t="s">
        <v>177</v>
      </c>
      <c r="C11" s="59">
        <f>C9-C10</f>
        <v>14366700</v>
      </c>
      <c r="D11" s="61">
        <f>D9-D10</f>
        <v>12930030</v>
      </c>
      <c r="E11" s="27">
        <f t="shared" ref="E11:K11" si="1">E9-E10</f>
        <v>11637027</v>
      </c>
      <c r="F11" s="27">
        <f t="shared" si="1"/>
        <v>10473324.300000001</v>
      </c>
      <c r="G11" s="27">
        <f t="shared" si="1"/>
        <v>9425991.870000001</v>
      </c>
      <c r="H11" s="27">
        <f t="shared" si="1"/>
        <v>8483392.6830000002</v>
      </c>
      <c r="I11" s="27">
        <f t="shared" si="1"/>
        <v>7635053.4146999996</v>
      </c>
      <c r="J11" s="27">
        <f t="shared" si="1"/>
        <v>6871548.0732299993</v>
      </c>
      <c r="K11" s="27">
        <f t="shared" si="1"/>
        <v>6184393.2659069989</v>
      </c>
    </row>
    <row r="12" spans="1:11" x14ac:dyDescent="0.35">
      <c r="A12" s="14">
        <v>2</v>
      </c>
      <c r="B12" s="5" t="s">
        <v>178</v>
      </c>
      <c r="C12" s="59">
        <f>'Ann 4'!C14*30/360</f>
        <v>2510890</v>
      </c>
      <c r="D12" s="59">
        <f>'Ann 4'!D14*30/360</f>
        <v>2825588.2133333329</v>
      </c>
      <c r="E12" s="59">
        <f>'Ann 4'!E14*30/360</f>
        <v>3167307.7878833329</v>
      </c>
      <c r="F12" s="59">
        <f>'Ann 4'!F14*30/360</f>
        <v>3538069.1112884991</v>
      </c>
      <c r="G12" s="59">
        <f>'Ann 4'!G14*30/360</f>
        <v>3940033.0742098861</v>
      </c>
      <c r="H12" s="59">
        <f>'Ann 4'!H14*30/360</f>
        <v>4375510.4139909791</v>
      </c>
      <c r="I12" s="59">
        <f>'Ann 4'!I14*30/360</f>
        <v>4616163.4867604822</v>
      </c>
      <c r="J12" s="59">
        <f>'Ann 4'!J14*30/360</f>
        <v>4870052.4785323087</v>
      </c>
      <c r="K12" s="59">
        <f>'Ann 4'!K14*30/360</f>
        <v>5137905.3648515856</v>
      </c>
    </row>
    <row r="13" spans="1:11" x14ac:dyDescent="0.35">
      <c r="A13" s="14">
        <v>3</v>
      </c>
      <c r="B13" s="5" t="s">
        <v>179</v>
      </c>
      <c r="C13" s="60">
        <f>'Cash flows'!B16</f>
        <v>2171684.3333333321</v>
      </c>
      <c r="D13" s="60">
        <f>'Cash flows'!C16</f>
        <v>5263395.1850666683</v>
      </c>
      <c r="E13" s="60">
        <f>'Cash flows'!D16</f>
        <v>8783452.186160665</v>
      </c>
      <c r="F13" s="60">
        <f>'Cash flows'!E16</f>
        <v>12790201.538440183</v>
      </c>
      <c r="G13" s="60">
        <f>'Cash flows'!F16</f>
        <v>17344198.294474598</v>
      </c>
      <c r="H13" s="60">
        <f>'Cash flows'!G16</f>
        <v>20961371.938609738</v>
      </c>
      <c r="I13" s="60">
        <f>'Cash flows'!H16</f>
        <v>28859037.856454693</v>
      </c>
      <c r="J13" s="60">
        <f>'Cash flows'!I16</f>
        <v>37081271.661512181</v>
      </c>
      <c r="K13" s="60">
        <f>'Cash flows'!J16</f>
        <v>45657178.72460594</v>
      </c>
    </row>
    <row r="14" spans="1:11" x14ac:dyDescent="0.35">
      <c r="A14" s="14"/>
      <c r="B14" s="5" t="s">
        <v>187</v>
      </c>
      <c r="C14" s="59">
        <f t="shared" ref="C14:K14" si="2">SUM(C11:C13)</f>
        <v>19049274.333333332</v>
      </c>
      <c r="D14" s="59">
        <f t="shared" si="2"/>
        <v>21019013.398400001</v>
      </c>
      <c r="E14" s="50">
        <f t="shared" si="2"/>
        <v>23587786.974043999</v>
      </c>
      <c r="F14" s="50">
        <f t="shared" si="2"/>
        <v>26801594.949728683</v>
      </c>
      <c r="G14" s="50">
        <f t="shared" si="2"/>
        <v>30710223.238684483</v>
      </c>
      <c r="H14" s="50">
        <f t="shared" si="2"/>
        <v>33820275.035600722</v>
      </c>
      <c r="I14" s="50">
        <f t="shared" si="2"/>
        <v>41110254.757915176</v>
      </c>
      <c r="J14" s="50">
        <f t="shared" si="2"/>
        <v>48822872.213274494</v>
      </c>
      <c r="K14" s="50">
        <f t="shared" si="2"/>
        <v>56979477.355364524</v>
      </c>
    </row>
    <row r="15" spans="1:11" x14ac:dyDescent="0.35">
      <c r="A15" s="14"/>
      <c r="B15" s="5"/>
      <c r="C15" s="59"/>
      <c r="D15" s="59"/>
      <c r="E15" s="50"/>
      <c r="F15" s="50"/>
      <c r="G15" s="50"/>
      <c r="H15" s="50"/>
      <c r="I15" s="50"/>
      <c r="J15" s="50"/>
      <c r="K15" s="50"/>
    </row>
    <row r="16" spans="1:11" x14ac:dyDescent="0.35">
      <c r="A16" s="14" t="s">
        <v>208</v>
      </c>
      <c r="B16" s="51" t="s">
        <v>180</v>
      </c>
      <c r="C16" s="9"/>
      <c r="D16" s="9"/>
      <c r="E16" s="6"/>
      <c r="F16" s="6"/>
      <c r="G16" s="6"/>
      <c r="H16" s="6"/>
      <c r="I16" s="6"/>
      <c r="J16" s="6"/>
      <c r="K16" s="6"/>
    </row>
    <row r="17" spans="1:13" x14ac:dyDescent="0.35">
      <c r="A17" s="14">
        <v>1</v>
      </c>
      <c r="B17" s="5" t="s">
        <v>181</v>
      </c>
      <c r="C17" s="60">
        <f>'Ann 2'!C4*100000</f>
        <v>1650000</v>
      </c>
      <c r="D17" s="60">
        <f>C20</f>
        <v>5265941</v>
      </c>
      <c r="E17" s="18">
        <f t="shared" ref="E17:K17" si="3">D20</f>
        <v>9435013.3983999994</v>
      </c>
      <c r="F17" s="18">
        <f t="shared" si="3"/>
        <v>14203106.974043997</v>
      </c>
      <c r="G17" s="18">
        <f t="shared" si="3"/>
        <v>19616221.349728674</v>
      </c>
      <c r="H17" s="18">
        <f t="shared" si="3"/>
        <v>25724142.166684482</v>
      </c>
      <c r="I17" s="18">
        <f t="shared" si="3"/>
        <v>33246472.342160717</v>
      </c>
      <c r="J17" s="18">
        <f t="shared" si="3"/>
        <v>40535716.010606386</v>
      </c>
      <c r="K17" s="18">
        <f t="shared" si="3"/>
        <v>48247582.691019505</v>
      </c>
    </row>
    <row r="18" spans="1:13" x14ac:dyDescent="0.35">
      <c r="A18" s="14"/>
      <c r="B18" s="5" t="s">
        <v>182</v>
      </c>
      <c r="C18" s="60">
        <f>'Ann 4'!C29</f>
        <v>3615941</v>
      </c>
      <c r="D18" s="60">
        <f>'Ann 4'!D29</f>
        <v>4169072.3983999994</v>
      </c>
      <c r="E18" s="18">
        <f>'Ann 4'!E29</f>
        <v>4768093.5756439976</v>
      </c>
      <c r="F18" s="18">
        <f>'Ann 4'!F29</f>
        <v>5413114.3756846786</v>
      </c>
      <c r="G18" s="18">
        <f>'Ann 4'!G29</f>
        <v>6107920.8169558086</v>
      </c>
      <c r="H18" s="18">
        <f>'Ann 4'!H29</f>
        <v>7522330.1754762344</v>
      </c>
      <c r="I18" s="18">
        <f>'Ann 4'!I29</f>
        <v>7289243.6684456691</v>
      </c>
      <c r="J18" s="18">
        <f>'Ann 4'!J29</f>
        <v>7711866.6804131158</v>
      </c>
      <c r="K18" s="18">
        <f>'Ann 4'!K29</f>
        <v>8155839.3516449258</v>
      </c>
    </row>
    <row r="19" spans="1:13" x14ac:dyDescent="0.35">
      <c r="A19" s="14"/>
      <c r="B19" s="5" t="s">
        <v>183</v>
      </c>
      <c r="C19" s="60">
        <v>0</v>
      </c>
      <c r="D19" s="60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</row>
    <row r="20" spans="1:13" x14ac:dyDescent="0.35">
      <c r="A20" s="14"/>
      <c r="B20" s="5" t="s">
        <v>184</v>
      </c>
      <c r="C20" s="60">
        <f>C17+C18</f>
        <v>5265941</v>
      </c>
      <c r="D20" s="60">
        <f t="shared" ref="D20:K20" si="4">D17+D18</f>
        <v>9435013.3983999994</v>
      </c>
      <c r="E20" s="18">
        <f t="shared" si="4"/>
        <v>14203106.974043997</v>
      </c>
      <c r="F20" s="18">
        <f t="shared" si="4"/>
        <v>19616221.349728674</v>
      </c>
      <c r="G20" s="18">
        <f t="shared" si="4"/>
        <v>25724142.166684482</v>
      </c>
      <c r="H20" s="18">
        <f t="shared" si="4"/>
        <v>33246472.342160717</v>
      </c>
      <c r="I20" s="18">
        <f t="shared" si="4"/>
        <v>40535716.010606386</v>
      </c>
      <c r="J20" s="18">
        <f t="shared" si="4"/>
        <v>48247582.691019505</v>
      </c>
      <c r="K20" s="18">
        <f t="shared" si="4"/>
        <v>56403422.042664431</v>
      </c>
    </row>
    <row r="21" spans="1:13" x14ac:dyDescent="0.35">
      <c r="A21" s="14">
        <v>2</v>
      </c>
      <c r="B21" s="5" t="s">
        <v>185</v>
      </c>
      <c r="C21" s="60">
        <f>'Ann 13'!C14*100000</f>
        <v>13213000</v>
      </c>
      <c r="D21" s="60">
        <f>'Ann 13'!C18*100000</f>
        <v>11013000</v>
      </c>
      <c r="E21" s="60">
        <f>'Ann 13'!C22*100000</f>
        <v>8813000</v>
      </c>
      <c r="F21" s="60">
        <f>'Ann 13'!C26*100000</f>
        <v>6613000</v>
      </c>
      <c r="G21" s="18">
        <f>('Ann 13'!C29-'Ann 13'!D29)*100000</f>
        <v>4413000</v>
      </c>
      <c r="H21" s="18">
        <v>0</v>
      </c>
      <c r="I21" s="18">
        <v>0</v>
      </c>
      <c r="J21" s="18">
        <v>0</v>
      </c>
      <c r="K21" s="18">
        <v>0</v>
      </c>
    </row>
    <row r="22" spans="1:13" x14ac:dyDescent="0.35">
      <c r="A22" s="14">
        <v>3</v>
      </c>
      <c r="B22" s="62" t="s">
        <v>226</v>
      </c>
      <c r="C22" s="60">
        <f>'Ann 1'!$C$22*100000</f>
        <v>537000</v>
      </c>
      <c r="D22" s="60">
        <f>'Ann 1'!$C$22*100000</f>
        <v>537000</v>
      </c>
      <c r="E22" s="60">
        <f>'Ann 1'!$C$22*100000</f>
        <v>537000</v>
      </c>
      <c r="F22" s="60">
        <f>'Ann 1'!$C$22*100000</f>
        <v>537000</v>
      </c>
      <c r="G22" s="60">
        <f>'Ann 1'!$C$22*100000</f>
        <v>537000</v>
      </c>
      <c r="H22" s="60">
        <f>'Ann 1'!$C$22*100000</f>
        <v>537000</v>
      </c>
      <c r="I22" s="60">
        <f>'Ann 1'!$C$22*100000</f>
        <v>537000</v>
      </c>
      <c r="J22" s="60">
        <f>'Ann 1'!$C$22*100000</f>
        <v>537000</v>
      </c>
      <c r="K22" s="60">
        <f>'Ann 1'!$C$22*100000</f>
        <v>537000</v>
      </c>
    </row>
    <row r="23" spans="1:13" x14ac:dyDescent="0.35">
      <c r="A23" s="14">
        <v>4</v>
      </c>
      <c r="B23" s="62" t="s">
        <v>220</v>
      </c>
      <c r="C23" s="60">
        <f>'Ann 4'!C10*60/360</f>
        <v>33333.333333333336</v>
      </c>
      <c r="D23" s="60">
        <f>'Ann 4'!D10*60/360</f>
        <v>34000</v>
      </c>
      <c r="E23" s="60">
        <f>'Ann 4'!E10*60/360</f>
        <v>34680</v>
      </c>
      <c r="F23" s="60">
        <f>'Ann 4'!F10*60/360</f>
        <v>35373.599999999999</v>
      </c>
      <c r="G23" s="60">
        <f>'Ann 4'!G10*60/360</f>
        <v>36081.072</v>
      </c>
      <c r="H23" s="60">
        <f>'Ann 4'!H10*60/360</f>
        <v>36802.693440000003</v>
      </c>
      <c r="I23" s="60">
        <f>'Ann 4'!I10*60/360</f>
        <v>37538.747308800004</v>
      </c>
      <c r="J23" s="60">
        <f>'Ann 4'!J10*60/360</f>
        <v>38289.522254976007</v>
      </c>
      <c r="K23" s="60">
        <f>'Ann 4'!K10*60/360</f>
        <v>39055.312700075519</v>
      </c>
    </row>
    <row r="24" spans="1:13" x14ac:dyDescent="0.35">
      <c r="A24" s="14"/>
      <c r="B24" s="5" t="s">
        <v>186</v>
      </c>
      <c r="C24" s="59">
        <f t="shared" ref="C24:K24" si="5">SUM(C20:C23)</f>
        <v>19049274.333333332</v>
      </c>
      <c r="D24" s="59">
        <f t="shared" si="5"/>
        <v>21019013.398400001</v>
      </c>
      <c r="E24" s="59">
        <f t="shared" si="5"/>
        <v>23587786.974043995</v>
      </c>
      <c r="F24" s="59">
        <f t="shared" si="5"/>
        <v>26801594.949728675</v>
      </c>
      <c r="G24" s="59">
        <f t="shared" si="5"/>
        <v>30710223.238684483</v>
      </c>
      <c r="H24" s="59">
        <f t="shared" si="5"/>
        <v>33820275.035600714</v>
      </c>
      <c r="I24" s="59">
        <f t="shared" si="5"/>
        <v>41110254.757915184</v>
      </c>
      <c r="J24" s="59">
        <f t="shared" si="5"/>
        <v>48822872.213274479</v>
      </c>
      <c r="K24" s="59">
        <f t="shared" si="5"/>
        <v>56979477.355364509</v>
      </c>
    </row>
    <row r="25" spans="1:13" x14ac:dyDescent="0.35">
      <c r="A25" s="14"/>
      <c r="B25" s="5"/>
      <c r="C25" s="59"/>
      <c r="D25" s="59"/>
      <c r="E25" s="59"/>
      <c r="F25" s="59"/>
      <c r="G25" s="59"/>
      <c r="H25" s="59"/>
      <c r="I25" s="59"/>
      <c r="J25" s="59"/>
      <c r="K25" s="59"/>
      <c r="L25" s="70"/>
      <c r="M25" s="5"/>
    </row>
    <row r="26" spans="1:13" x14ac:dyDescent="0.35">
      <c r="A26" s="63"/>
      <c r="B26" s="64" t="s">
        <v>188</v>
      </c>
      <c r="C26" s="65"/>
      <c r="D26" s="65"/>
      <c r="E26" s="66"/>
      <c r="F26" s="66"/>
      <c r="G26" s="66"/>
      <c r="H26" s="66"/>
      <c r="I26" s="66"/>
      <c r="J26" s="66"/>
      <c r="K26" s="66"/>
    </row>
    <row r="27" spans="1:13" x14ac:dyDescent="0.35">
      <c r="A27" s="14"/>
      <c r="B27" s="5" t="s">
        <v>189</v>
      </c>
      <c r="C27" s="59">
        <f t="shared" ref="C27:K27" si="6">SUM(C12:C13)</f>
        <v>4682574.3333333321</v>
      </c>
      <c r="D27" s="59">
        <f t="shared" si="6"/>
        <v>8088983.3984000012</v>
      </c>
      <c r="E27" s="50">
        <f t="shared" si="6"/>
        <v>11950759.974043999</v>
      </c>
      <c r="F27" s="50">
        <f t="shared" si="6"/>
        <v>16328270.649728682</v>
      </c>
      <c r="G27" s="50">
        <f t="shared" si="6"/>
        <v>21284231.368684486</v>
      </c>
      <c r="H27" s="50">
        <f t="shared" si="6"/>
        <v>25336882.352600716</v>
      </c>
      <c r="I27" s="50">
        <f t="shared" si="6"/>
        <v>33475201.343215175</v>
      </c>
      <c r="J27" s="50">
        <f t="shared" si="6"/>
        <v>41951324.140044488</v>
      </c>
      <c r="K27" s="50">
        <f t="shared" si="6"/>
        <v>50795084.089457527</v>
      </c>
    </row>
    <row r="28" spans="1:13" x14ac:dyDescent="0.35">
      <c r="A28" s="14"/>
      <c r="B28" s="5" t="s">
        <v>190</v>
      </c>
      <c r="C28" s="59">
        <f>C23+C22</f>
        <v>570333.33333333337</v>
      </c>
      <c r="D28" s="59">
        <f t="shared" ref="D28:K28" si="7">D23+D22</f>
        <v>571000</v>
      </c>
      <c r="E28" s="59">
        <f t="shared" si="7"/>
        <v>571680</v>
      </c>
      <c r="F28" s="59">
        <f t="shared" si="7"/>
        <v>572373.6</v>
      </c>
      <c r="G28" s="59">
        <f t="shared" si="7"/>
        <v>573081.07200000004</v>
      </c>
      <c r="H28" s="59">
        <f t="shared" si="7"/>
        <v>573802.69344000006</v>
      </c>
      <c r="I28" s="59">
        <f t="shared" si="7"/>
        <v>574538.7473088</v>
      </c>
      <c r="J28" s="59">
        <f t="shared" si="7"/>
        <v>575289.52225497598</v>
      </c>
      <c r="K28" s="59">
        <f t="shared" si="7"/>
        <v>576055.31270007556</v>
      </c>
    </row>
    <row r="29" spans="1:13" x14ac:dyDescent="0.35">
      <c r="A29" s="14"/>
      <c r="B29" s="5" t="s">
        <v>196</v>
      </c>
      <c r="C29" s="9">
        <f>C27/C28</f>
        <v>8.2102413793103413</v>
      </c>
      <c r="D29" s="9">
        <f>D27/D28</f>
        <v>14.166345706479863</v>
      </c>
      <c r="E29" s="6">
        <f t="shared" ref="E29:K29" si="8">E27/E28</f>
        <v>20.904631916533724</v>
      </c>
      <c r="F29" s="6">
        <f t="shared" si="8"/>
        <v>28.527295196229669</v>
      </c>
      <c r="G29" s="6">
        <f t="shared" si="8"/>
        <v>37.140000618768447</v>
      </c>
      <c r="H29" s="6">
        <f t="shared" si="8"/>
        <v>44.156088220331924</v>
      </c>
      <c r="I29" s="6">
        <f t="shared" si="8"/>
        <v>58.264479985060262</v>
      </c>
      <c r="J29" s="6">
        <f t="shared" si="8"/>
        <v>72.922107073333947</v>
      </c>
      <c r="K29" s="6">
        <f t="shared" si="8"/>
        <v>88.177442286525874</v>
      </c>
    </row>
    <row r="30" spans="1:13" x14ac:dyDescent="0.35">
      <c r="A30" s="14"/>
      <c r="B30" s="5"/>
      <c r="C30" s="9"/>
      <c r="D30" s="9"/>
      <c r="E30" s="6"/>
      <c r="F30" s="6">
        <f>AVERAGE(C29:K29)</f>
        <v>41.385403598063789</v>
      </c>
      <c r="G30" s="6"/>
      <c r="H30" s="6"/>
      <c r="I30" s="6"/>
      <c r="J30" s="6"/>
      <c r="K30" s="6"/>
    </row>
    <row r="31" spans="1:13" x14ac:dyDescent="0.35">
      <c r="A31" s="63"/>
      <c r="B31" s="64" t="s">
        <v>193</v>
      </c>
      <c r="C31" s="65"/>
      <c r="D31" s="65"/>
      <c r="E31" s="66"/>
      <c r="F31" s="66"/>
      <c r="G31" s="66"/>
      <c r="H31" s="66"/>
      <c r="I31" s="66"/>
      <c r="J31" s="66"/>
      <c r="K31" s="66"/>
    </row>
    <row r="32" spans="1:13" x14ac:dyDescent="0.35">
      <c r="A32" s="14"/>
      <c r="B32" s="5" t="s">
        <v>194</v>
      </c>
      <c r="C32" s="59">
        <f>C21+C22</f>
        <v>13750000</v>
      </c>
      <c r="D32" s="59">
        <f t="shared" ref="D32:K32" si="9">D21+D22</f>
        <v>11550000</v>
      </c>
      <c r="E32" s="59">
        <f t="shared" si="9"/>
        <v>9350000</v>
      </c>
      <c r="F32" s="59">
        <f t="shared" si="9"/>
        <v>7150000</v>
      </c>
      <c r="G32" s="59">
        <f t="shared" si="9"/>
        <v>4950000</v>
      </c>
      <c r="H32" s="59">
        <f t="shared" si="9"/>
        <v>537000</v>
      </c>
      <c r="I32" s="59">
        <f t="shared" si="9"/>
        <v>537000</v>
      </c>
      <c r="J32" s="59">
        <f t="shared" si="9"/>
        <v>537000</v>
      </c>
      <c r="K32" s="59">
        <f t="shared" si="9"/>
        <v>537000</v>
      </c>
    </row>
    <row r="33" spans="1:11" x14ac:dyDescent="0.35">
      <c r="A33" s="14"/>
      <c r="B33" s="5" t="s">
        <v>195</v>
      </c>
      <c r="C33" s="59">
        <f t="shared" ref="C33:K33" si="10">C20</f>
        <v>5265941</v>
      </c>
      <c r="D33" s="59">
        <f t="shared" si="10"/>
        <v>9435013.3983999994</v>
      </c>
      <c r="E33" s="50">
        <f t="shared" si="10"/>
        <v>14203106.974043997</v>
      </c>
      <c r="F33" s="50">
        <f t="shared" si="10"/>
        <v>19616221.349728674</v>
      </c>
      <c r="G33" s="50">
        <f t="shared" si="10"/>
        <v>25724142.166684482</v>
      </c>
      <c r="H33" s="50">
        <f t="shared" si="10"/>
        <v>33246472.342160717</v>
      </c>
      <c r="I33" s="50">
        <f t="shared" si="10"/>
        <v>40535716.010606386</v>
      </c>
      <c r="J33" s="50">
        <f t="shared" si="10"/>
        <v>48247582.691019505</v>
      </c>
      <c r="K33" s="50">
        <f t="shared" si="10"/>
        <v>56403422.042664431</v>
      </c>
    </row>
    <row r="34" spans="1:11" x14ac:dyDescent="0.35">
      <c r="A34" s="14"/>
      <c r="B34" s="5" t="s">
        <v>196</v>
      </c>
      <c r="C34" s="9">
        <f>C32/C33</f>
        <v>2.6111192662432035</v>
      </c>
      <c r="D34" s="9">
        <f t="shared" ref="D34:K34" si="11">D32/D33</f>
        <v>1.2241636034092609</v>
      </c>
      <c r="E34" s="6">
        <f t="shared" si="11"/>
        <v>0.65830666607574029</v>
      </c>
      <c r="F34" s="6">
        <f t="shared" si="11"/>
        <v>0.3644942556737053</v>
      </c>
      <c r="G34" s="6">
        <f t="shared" si="11"/>
        <v>0.19242624177418752</v>
      </c>
      <c r="H34" s="6">
        <f t="shared" si="11"/>
        <v>1.6152089595352838E-2</v>
      </c>
      <c r="I34" s="50">
        <f t="shared" si="11"/>
        <v>1.3247576528794781E-2</v>
      </c>
      <c r="J34" s="50">
        <f t="shared" si="11"/>
        <v>1.113009129263493E-2</v>
      </c>
      <c r="K34" s="50">
        <f t="shared" si="11"/>
        <v>9.5206989319514129E-3</v>
      </c>
    </row>
    <row r="35" spans="1:11" x14ac:dyDescent="0.35">
      <c r="A35" s="14"/>
      <c r="B35" s="62" t="s">
        <v>209</v>
      </c>
      <c r="C35" s="9"/>
      <c r="D35" s="9"/>
      <c r="E35" s="6"/>
      <c r="F35" s="6">
        <f>AVERAGE(C34:K34)</f>
        <v>0.5667289432805368</v>
      </c>
      <c r="G35" s="6"/>
      <c r="H35" s="6"/>
      <c r="I35" s="50"/>
      <c r="J35" s="50"/>
      <c r="K35" s="50"/>
    </row>
    <row r="36" spans="1:11" x14ac:dyDescent="0.35">
      <c r="A36" s="14"/>
      <c r="B36" s="5"/>
      <c r="C36" s="9"/>
      <c r="D36" s="9"/>
      <c r="E36" s="6"/>
      <c r="F36" s="6"/>
      <c r="G36" s="6"/>
      <c r="H36" s="6"/>
      <c r="I36" s="50"/>
      <c r="J36" s="50"/>
      <c r="K36" s="50"/>
    </row>
    <row r="37" spans="1:11" x14ac:dyDescent="0.35">
      <c r="A37" s="63"/>
      <c r="B37" s="64" t="s">
        <v>210</v>
      </c>
      <c r="C37" s="65"/>
      <c r="D37" s="65"/>
      <c r="E37" s="66"/>
      <c r="F37" s="66"/>
      <c r="G37" s="66"/>
      <c r="H37" s="66"/>
      <c r="I37" s="67"/>
      <c r="J37" s="67"/>
      <c r="K37" s="67"/>
    </row>
    <row r="38" spans="1:11" x14ac:dyDescent="0.35">
      <c r="A38" s="14"/>
      <c r="B38" s="62" t="s">
        <v>211</v>
      </c>
      <c r="C38" s="59">
        <f t="shared" ref="C38:K38" si="12">C11</f>
        <v>14366700</v>
      </c>
      <c r="D38" s="59">
        <f t="shared" si="12"/>
        <v>12930030</v>
      </c>
      <c r="E38" s="59">
        <f t="shared" si="12"/>
        <v>11637027</v>
      </c>
      <c r="F38" s="59">
        <f t="shared" si="12"/>
        <v>10473324.300000001</v>
      </c>
      <c r="G38" s="59">
        <f t="shared" si="12"/>
        <v>9425991.870000001</v>
      </c>
      <c r="H38" s="59">
        <f t="shared" si="12"/>
        <v>8483392.6830000002</v>
      </c>
      <c r="I38" s="59">
        <f t="shared" si="12"/>
        <v>7635053.4146999996</v>
      </c>
      <c r="J38" s="59">
        <f t="shared" si="12"/>
        <v>6871548.0732299993</v>
      </c>
      <c r="K38" s="59">
        <f t="shared" si="12"/>
        <v>6184393.2659069989</v>
      </c>
    </row>
    <row r="39" spans="1:11" x14ac:dyDescent="0.35">
      <c r="A39" s="14"/>
      <c r="B39" s="62" t="s">
        <v>194</v>
      </c>
      <c r="C39" s="59">
        <f>C21+C22</f>
        <v>13750000</v>
      </c>
      <c r="D39" s="59">
        <f t="shared" ref="D39:K39" si="13">D21+D22</f>
        <v>11550000</v>
      </c>
      <c r="E39" s="59">
        <f t="shared" si="13"/>
        <v>9350000</v>
      </c>
      <c r="F39" s="59">
        <f t="shared" si="13"/>
        <v>7150000</v>
      </c>
      <c r="G39" s="59">
        <f t="shared" si="13"/>
        <v>4950000</v>
      </c>
      <c r="H39" s="59">
        <f t="shared" si="13"/>
        <v>537000</v>
      </c>
      <c r="I39" s="59">
        <f t="shared" si="13"/>
        <v>537000</v>
      </c>
      <c r="J39" s="59">
        <f t="shared" si="13"/>
        <v>537000</v>
      </c>
      <c r="K39" s="59">
        <f t="shared" si="13"/>
        <v>537000</v>
      </c>
    </row>
    <row r="40" spans="1:11" x14ac:dyDescent="0.35">
      <c r="A40" s="14"/>
      <c r="B40" s="62" t="s">
        <v>205</v>
      </c>
      <c r="C40" s="9">
        <f>C38/C39</f>
        <v>1.0448509090909091</v>
      </c>
      <c r="D40" s="9">
        <f t="shared" ref="D40:K40" si="14">D38/D39</f>
        <v>1.119483116883117</v>
      </c>
      <c r="E40" s="9">
        <f t="shared" si="14"/>
        <v>1.2446018181818181</v>
      </c>
      <c r="F40" s="9">
        <f t="shared" si="14"/>
        <v>1.4648006013986015</v>
      </c>
      <c r="G40" s="9">
        <f t="shared" si="14"/>
        <v>1.9042407818181821</v>
      </c>
      <c r="H40" s="9">
        <f t="shared" si="14"/>
        <v>15.797751737430168</v>
      </c>
      <c r="I40" s="9">
        <f t="shared" si="14"/>
        <v>14.21797656368715</v>
      </c>
      <c r="J40" s="9">
        <f t="shared" si="14"/>
        <v>12.796178907318435</v>
      </c>
      <c r="K40" s="9">
        <f t="shared" si="14"/>
        <v>11.516561016586589</v>
      </c>
    </row>
    <row r="41" spans="1:11" x14ac:dyDescent="0.35">
      <c r="A41" s="14"/>
      <c r="B41" s="62"/>
      <c r="C41" s="9"/>
      <c r="D41" s="9"/>
      <c r="E41" s="6"/>
      <c r="F41" s="6">
        <f>AVERAGE(C40:K40)</f>
        <v>6.7896050502661076</v>
      </c>
      <c r="G41" s="6"/>
      <c r="H41" s="6"/>
      <c r="I41" s="6"/>
      <c r="J41" s="6"/>
      <c r="K41" s="6"/>
    </row>
    <row r="42" spans="1:11" x14ac:dyDescent="0.35">
      <c r="A42" s="14"/>
      <c r="B42" s="5"/>
      <c r="C42" s="9"/>
      <c r="D42" s="9"/>
      <c r="E42" s="6"/>
      <c r="F42" s="6"/>
      <c r="G42" s="6"/>
      <c r="H42" s="6"/>
      <c r="I42" s="50"/>
      <c r="J42" s="50"/>
      <c r="K42" s="50"/>
    </row>
    <row r="43" spans="1:11" x14ac:dyDescent="0.35">
      <c r="A43" s="63"/>
      <c r="B43" s="64" t="s">
        <v>202</v>
      </c>
      <c r="C43" s="65"/>
      <c r="D43" s="65"/>
      <c r="E43" s="66"/>
      <c r="F43" s="66"/>
      <c r="G43" s="66"/>
      <c r="H43" s="66"/>
      <c r="I43" s="67"/>
      <c r="J43" s="67"/>
      <c r="K43" s="67"/>
    </row>
    <row r="44" spans="1:11" x14ac:dyDescent="0.35">
      <c r="A44" s="14"/>
      <c r="B44" s="5" t="s">
        <v>203</v>
      </c>
      <c r="C44" s="60">
        <f>'Ann 4'!C20</f>
        <v>904229.99999999988</v>
      </c>
      <c r="D44" s="60">
        <f>'Ann 4'!D20</f>
        <v>796979.99999999988</v>
      </c>
      <c r="E44" s="60">
        <f>'Ann 4'!E20</f>
        <v>664979.99999999988</v>
      </c>
      <c r="F44" s="60">
        <f>'Ann 4'!F20</f>
        <v>532980</v>
      </c>
      <c r="G44" s="60">
        <f>'Ann 4'!G20</f>
        <v>400980</v>
      </c>
      <c r="H44" s="60">
        <f>'Ann 4'!H20</f>
        <v>227534.99999999997</v>
      </c>
      <c r="I44" s="60">
        <f>'Ann 4'!I20</f>
        <v>53700</v>
      </c>
      <c r="J44" s="60">
        <f>'Ann 4'!J20</f>
        <v>53700</v>
      </c>
      <c r="K44" s="60">
        <f>'Ann 4'!K20</f>
        <v>53700</v>
      </c>
    </row>
    <row r="45" spans="1:11" x14ac:dyDescent="0.35">
      <c r="A45" s="14"/>
      <c r="B45" s="5" t="s">
        <v>206</v>
      </c>
      <c r="C45" s="60">
        <f>SUM('Ann 13'!D10:D13)*100000</f>
        <v>1100000</v>
      </c>
      <c r="D45" s="60">
        <f>SUM('Ann 13'!D14:D17)*100000</f>
        <v>2200000</v>
      </c>
      <c r="E45" s="18">
        <f>SUM('Ann 13'!D18:D21)*100000</f>
        <v>2200000</v>
      </c>
      <c r="F45" s="18">
        <f>SUM('Ann 13'!D22:D25)*100000</f>
        <v>2200000</v>
      </c>
      <c r="G45" s="18">
        <f>SUM('Ann 13'!D26:D29)*100000</f>
        <v>2200000</v>
      </c>
      <c r="H45" s="18">
        <f>SUM('Ann 13'!D30:D33)*100000</f>
        <v>1113000</v>
      </c>
      <c r="I45" s="18">
        <f>SUM('Ann 13'!D34:D37)*100000</f>
        <v>0</v>
      </c>
      <c r="J45" s="18">
        <v>0</v>
      </c>
      <c r="K45" s="18">
        <v>0</v>
      </c>
    </row>
    <row r="46" spans="1:11" x14ac:dyDescent="0.35">
      <c r="A46" s="14"/>
      <c r="B46" s="5" t="s">
        <v>8</v>
      </c>
      <c r="C46" s="60">
        <f>SUM(C44:C45)</f>
        <v>2004230</v>
      </c>
      <c r="D46" s="60">
        <f t="shared" ref="D46:K46" si="15">SUM(D44:D45)</f>
        <v>2996980</v>
      </c>
      <c r="E46" s="18">
        <f t="shared" si="15"/>
        <v>2864980</v>
      </c>
      <c r="F46" s="18">
        <f t="shared" si="15"/>
        <v>2732980</v>
      </c>
      <c r="G46" s="18">
        <f t="shared" si="15"/>
        <v>2600980</v>
      </c>
      <c r="H46" s="18">
        <f t="shared" si="15"/>
        <v>1340535</v>
      </c>
      <c r="I46" s="18">
        <f t="shared" si="15"/>
        <v>53700</v>
      </c>
      <c r="J46" s="18">
        <f t="shared" si="15"/>
        <v>53700</v>
      </c>
      <c r="K46" s="18">
        <f t="shared" si="15"/>
        <v>53700</v>
      </c>
    </row>
    <row r="47" spans="1:11" x14ac:dyDescent="0.35">
      <c r="A47" s="14"/>
      <c r="B47" s="5" t="s">
        <v>204</v>
      </c>
      <c r="C47" s="60">
        <f>'Ann 4'!C15</f>
        <v>28328680</v>
      </c>
      <c r="D47" s="60">
        <f>'Ann 4'!D15</f>
        <v>32012738.559999995</v>
      </c>
      <c r="E47" s="18">
        <f>'Ann 4'!E15</f>
        <v>36015794.254599988</v>
      </c>
      <c r="F47" s="18">
        <f>'Ann 4'!F15</f>
        <v>40361785.383461989</v>
      </c>
      <c r="G47" s="18">
        <f>'Ann 4'!G15</f>
        <v>45076318.265398636</v>
      </c>
      <c r="H47" s="18">
        <f>'Ann 4'!H15</f>
        <v>50186778.297544546</v>
      </c>
      <c r="I47" s="18">
        <f>'Ann 4'!I15</f>
        <v>52968065.47148335</v>
      </c>
      <c r="J47" s="18">
        <f>'Ann 4'!J15</f>
        <v>55901967.344420835</v>
      </c>
      <c r="K47" s="18">
        <f>'Ann 4'!K15</f>
        <v>58996850.176215336</v>
      </c>
    </row>
    <row r="48" spans="1:11" x14ac:dyDescent="0.35">
      <c r="A48" s="52"/>
      <c r="B48" s="53" t="s">
        <v>205</v>
      </c>
      <c r="C48" s="11">
        <f>C47/C46</f>
        <v>14.134445647455632</v>
      </c>
      <c r="D48" s="11">
        <f t="shared" ref="D48:K48" si="16">D47/D46</f>
        <v>10.681665730168367</v>
      </c>
      <c r="E48" s="54">
        <f t="shared" si="16"/>
        <v>12.571045610999025</v>
      </c>
      <c r="F48" s="54">
        <f t="shared" si="16"/>
        <v>14.768415935521661</v>
      </c>
      <c r="G48" s="54">
        <f t="shared" si="16"/>
        <v>17.330513216325631</v>
      </c>
      <c r="H48" s="54">
        <f t="shared" si="16"/>
        <v>37.437872414778091</v>
      </c>
      <c r="I48" s="54">
        <f t="shared" si="16"/>
        <v>986.36993429205495</v>
      </c>
      <c r="J48" s="54">
        <f t="shared" si="16"/>
        <v>1041.004978480835</v>
      </c>
      <c r="K48" s="54">
        <f t="shared" si="16"/>
        <v>1098.6378058885537</v>
      </c>
    </row>
    <row r="49" spans="1:11" x14ac:dyDescent="0.35">
      <c r="A49" s="5"/>
      <c r="B49" s="62" t="s">
        <v>209</v>
      </c>
      <c r="C49" s="5"/>
      <c r="D49" s="5"/>
      <c r="E49" s="5"/>
      <c r="F49" s="5">
        <f>AVERAGE(C48:G48)</f>
        <v>13.89721722809406</v>
      </c>
      <c r="G49" s="5"/>
      <c r="H49" s="5"/>
      <c r="I49" s="5"/>
      <c r="J49" s="5"/>
      <c r="K49" s="5"/>
    </row>
    <row r="50" spans="1:11" x14ac:dyDescent="0.35">
      <c r="I50" s="16"/>
      <c r="J50" s="16"/>
      <c r="K50" s="16"/>
    </row>
    <row r="52" spans="1:11" x14ac:dyDescent="0.35">
      <c r="A52" t="s">
        <v>191</v>
      </c>
    </row>
    <row r="53" spans="1:11" x14ac:dyDescent="0.35">
      <c r="A53" t="s">
        <v>192</v>
      </c>
    </row>
  </sheetData>
  <mergeCells count="3">
    <mergeCell ref="A5:A6"/>
    <mergeCell ref="B5:B6"/>
    <mergeCell ref="C5:K5"/>
  </mergeCells>
  <pageMargins left="0.7" right="0.7" top="0.75" bottom="0.7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1FBF-6FFA-405B-9A95-302F8FAA33B6}">
  <dimension ref="A1:E16"/>
  <sheetViews>
    <sheetView workbookViewId="0">
      <selection activeCell="E11" sqref="E11"/>
    </sheetView>
  </sheetViews>
  <sheetFormatPr defaultRowHeight="14.5" x14ac:dyDescent="0.35"/>
  <cols>
    <col min="1" max="1" width="5.6328125" bestFit="1" customWidth="1"/>
    <col min="2" max="2" width="26.08984375" bestFit="1" customWidth="1"/>
    <col min="4" max="4" width="25" bestFit="1" customWidth="1"/>
    <col min="5" max="5" width="12.54296875" bestFit="1" customWidth="1"/>
  </cols>
  <sheetData>
    <row r="1" spans="1:5" x14ac:dyDescent="0.35">
      <c r="A1" s="22" t="s">
        <v>216</v>
      </c>
    </row>
    <row r="3" spans="1:5" x14ac:dyDescent="0.35">
      <c r="A3" s="3" t="s">
        <v>217</v>
      </c>
    </row>
    <row r="5" spans="1:5" x14ac:dyDescent="0.35">
      <c r="A5" s="34" t="s">
        <v>98</v>
      </c>
      <c r="B5" s="34" t="s">
        <v>99</v>
      </c>
      <c r="C5" s="34" t="s">
        <v>100</v>
      </c>
      <c r="D5" s="34" t="s">
        <v>101</v>
      </c>
      <c r="E5" s="34" t="s">
        <v>102</v>
      </c>
    </row>
    <row r="6" spans="1:5" x14ac:dyDescent="0.35">
      <c r="A6" s="44" t="s">
        <v>103</v>
      </c>
      <c r="B6" s="44" t="s">
        <v>105</v>
      </c>
      <c r="C6" s="44">
        <v>5</v>
      </c>
      <c r="D6" s="29">
        <v>12000</v>
      </c>
      <c r="E6" s="29">
        <f>D6*C6*12</f>
        <v>720000</v>
      </c>
    </row>
    <row r="7" spans="1:5" x14ac:dyDescent="0.35">
      <c r="A7" s="12" t="s">
        <v>104</v>
      </c>
      <c r="B7" s="12" t="s">
        <v>108</v>
      </c>
      <c r="C7" s="12">
        <v>1</v>
      </c>
      <c r="D7" s="29">
        <v>26000</v>
      </c>
      <c r="E7" s="29">
        <f>D7*C7*12</f>
        <v>312000</v>
      </c>
    </row>
    <row r="8" spans="1:5" x14ac:dyDescent="0.35">
      <c r="A8" s="12" t="s">
        <v>109</v>
      </c>
      <c r="B8" s="12" t="s">
        <v>218</v>
      </c>
      <c r="C8" s="12">
        <v>2</v>
      </c>
      <c r="D8" s="29">
        <v>10000</v>
      </c>
      <c r="E8" s="29">
        <f>D8*C8*12</f>
        <v>240000</v>
      </c>
    </row>
    <row r="9" spans="1:5" x14ac:dyDescent="0.35">
      <c r="A9" s="85" t="s">
        <v>8</v>
      </c>
      <c r="B9" s="85"/>
      <c r="C9" s="85"/>
      <c r="D9" s="85"/>
      <c r="E9" s="43">
        <f>SUM(E6:E8)</f>
        <v>1272000</v>
      </c>
    </row>
    <row r="10" spans="1:5" x14ac:dyDescent="0.35">
      <c r="A10" s="46"/>
      <c r="B10" s="48"/>
      <c r="C10" s="48"/>
      <c r="D10" s="48"/>
      <c r="E10" s="49"/>
    </row>
    <row r="11" spans="1:5" x14ac:dyDescent="0.35">
      <c r="A11" s="52" t="s">
        <v>225</v>
      </c>
      <c r="B11" s="53"/>
      <c r="C11" s="53"/>
      <c r="D11" s="53"/>
      <c r="E11" s="55">
        <f>E9*20%</f>
        <v>254400</v>
      </c>
    </row>
    <row r="12" spans="1:5" x14ac:dyDescent="0.35">
      <c r="A12" s="13" t="s">
        <v>8</v>
      </c>
      <c r="B12" s="4"/>
      <c r="C12" s="4"/>
      <c r="D12" s="4"/>
      <c r="E12" s="56">
        <f>SUM(E9:E11)</f>
        <v>1526400</v>
      </c>
    </row>
    <row r="14" spans="1:5" x14ac:dyDescent="0.35">
      <c r="A14" t="s">
        <v>106</v>
      </c>
      <c r="E14" s="16">
        <f>E12</f>
        <v>1526400</v>
      </c>
    </row>
    <row r="15" spans="1:5" x14ac:dyDescent="0.35">
      <c r="A15" t="s">
        <v>107</v>
      </c>
      <c r="E15" s="25">
        <v>0.06</v>
      </c>
    </row>
    <row r="16" spans="1:5" x14ac:dyDescent="0.35">
      <c r="A16" t="s">
        <v>221</v>
      </c>
      <c r="E16">
        <f>SUM(C6:C8)</f>
        <v>8</v>
      </c>
    </row>
  </sheetData>
  <mergeCells count="1">
    <mergeCell ref="A9:D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B57-BA66-499F-8B17-ED356988118B}">
  <sheetPr>
    <pageSetUpPr fitToPage="1"/>
  </sheetPr>
  <dimension ref="A1:F22"/>
  <sheetViews>
    <sheetView workbookViewId="0">
      <selection activeCell="C14" sqref="C14"/>
    </sheetView>
  </sheetViews>
  <sheetFormatPr defaultRowHeight="14.5" x14ac:dyDescent="0.35"/>
  <cols>
    <col min="1" max="1" width="6.36328125" bestFit="1" customWidth="1"/>
    <col min="2" max="2" width="18.81640625" bestFit="1" customWidth="1"/>
    <col min="3" max="3" width="19.453125" bestFit="1" customWidth="1"/>
    <col min="4" max="4" width="18.08984375" bestFit="1" customWidth="1"/>
    <col min="5" max="5" width="14.453125" bestFit="1" customWidth="1"/>
    <col min="6" max="6" width="14.36328125" bestFit="1" customWidth="1"/>
  </cols>
  <sheetData>
    <row r="1" spans="1:6" x14ac:dyDescent="0.35">
      <c r="A1" s="22" t="s">
        <v>111</v>
      </c>
    </row>
    <row r="3" spans="1:6" x14ac:dyDescent="0.35">
      <c r="A3" s="3" t="s">
        <v>110</v>
      </c>
    </row>
    <row r="5" spans="1:6" x14ac:dyDescent="0.35">
      <c r="A5" s="34" t="s">
        <v>24</v>
      </c>
      <c r="B5" s="34"/>
      <c r="C5" s="34" t="s">
        <v>114</v>
      </c>
      <c r="D5" s="34" t="s">
        <v>11</v>
      </c>
      <c r="E5" s="34" t="s">
        <v>115</v>
      </c>
      <c r="F5" s="34" t="s">
        <v>116</v>
      </c>
    </row>
    <row r="6" spans="1:6" x14ac:dyDescent="0.35">
      <c r="A6" s="12" t="s">
        <v>103</v>
      </c>
      <c r="B6" s="12" t="s">
        <v>13</v>
      </c>
      <c r="C6" s="29">
        <f>'Ann 1'!C12*100000</f>
        <v>15963000</v>
      </c>
      <c r="D6" s="29">
        <v>0</v>
      </c>
      <c r="E6" s="29">
        <v>0</v>
      </c>
      <c r="F6" s="12">
        <f>SUM(C6:E6)/100000</f>
        <v>159.63</v>
      </c>
    </row>
    <row r="7" spans="1:6" x14ac:dyDescent="0.35">
      <c r="A7" s="12" t="s">
        <v>104</v>
      </c>
      <c r="B7" s="12" t="s">
        <v>112</v>
      </c>
      <c r="C7" s="29">
        <v>0</v>
      </c>
      <c r="D7" s="29">
        <v>0</v>
      </c>
      <c r="E7" s="29">
        <v>0</v>
      </c>
      <c r="F7" s="29">
        <f>SUM(C7:E7)/100000</f>
        <v>0</v>
      </c>
    </row>
    <row r="8" spans="1:6" x14ac:dyDescent="0.35">
      <c r="A8" s="12" t="s">
        <v>109</v>
      </c>
      <c r="B8" s="12" t="s">
        <v>113</v>
      </c>
      <c r="C8" s="29">
        <v>0</v>
      </c>
      <c r="D8" s="29">
        <v>0</v>
      </c>
      <c r="E8" s="29">
        <v>0</v>
      </c>
      <c r="F8" s="29">
        <f>SUM(C8:E8)/100000</f>
        <v>0</v>
      </c>
    </row>
    <row r="9" spans="1:6" x14ac:dyDescent="0.35">
      <c r="A9" s="12"/>
      <c r="B9" s="85" t="s">
        <v>8</v>
      </c>
      <c r="C9" s="85"/>
      <c r="D9" s="85"/>
      <c r="E9" s="85"/>
      <c r="F9" s="12">
        <f>SUM(F6:F8)</f>
        <v>159.63</v>
      </c>
    </row>
    <row r="11" spans="1:6" x14ac:dyDescent="0.35">
      <c r="A11" s="12"/>
      <c r="B11" s="80" t="s">
        <v>117</v>
      </c>
      <c r="C11" s="81">
        <v>0.1</v>
      </c>
      <c r="D11" s="81">
        <v>0.15</v>
      </c>
      <c r="E11" s="81">
        <v>0.1</v>
      </c>
      <c r="F11" s="12" t="s">
        <v>8</v>
      </c>
    </row>
    <row r="12" spans="1:6" x14ac:dyDescent="0.35">
      <c r="A12" s="12"/>
      <c r="B12" s="12"/>
      <c r="C12" s="12"/>
      <c r="D12" s="12"/>
      <c r="E12" s="12"/>
      <c r="F12" s="12"/>
    </row>
    <row r="13" spans="1:6" x14ac:dyDescent="0.35">
      <c r="A13" s="82" t="s">
        <v>118</v>
      </c>
      <c r="B13" s="75">
        <v>1</v>
      </c>
      <c r="C13" s="76">
        <f>C11*C6</f>
        <v>1596300</v>
      </c>
      <c r="D13" s="76">
        <f>D11*D6</f>
        <v>0</v>
      </c>
      <c r="E13" s="76">
        <f>E11*E6</f>
        <v>0</v>
      </c>
      <c r="F13" s="76">
        <f>SUM(C13:E13)</f>
        <v>1596300</v>
      </c>
    </row>
    <row r="14" spans="1:6" x14ac:dyDescent="0.35">
      <c r="A14" s="82" t="s">
        <v>118</v>
      </c>
      <c r="B14" s="75">
        <v>2</v>
      </c>
      <c r="C14" s="76">
        <f>(C6-C13)*C11</f>
        <v>1436670</v>
      </c>
      <c r="D14" s="76">
        <f>(D6-D13)*D11</f>
        <v>0</v>
      </c>
      <c r="E14" s="76">
        <f>(E6-E13)*E11</f>
        <v>0</v>
      </c>
      <c r="F14" s="76">
        <f>SUM(C14:E14)</f>
        <v>1436670</v>
      </c>
    </row>
    <row r="15" spans="1:6" x14ac:dyDescent="0.35">
      <c r="A15" s="82" t="s">
        <v>118</v>
      </c>
      <c r="B15" s="75">
        <v>3</v>
      </c>
      <c r="C15" s="76">
        <f>(C6-C13-C14)*C11</f>
        <v>1293003</v>
      </c>
      <c r="D15" s="76">
        <f>(D6-D13-D14)*D11</f>
        <v>0</v>
      </c>
      <c r="E15" s="76">
        <f>(E6-E13-E14)*E11</f>
        <v>0</v>
      </c>
      <c r="F15" s="76">
        <f t="shared" ref="F15:F21" si="0">SUM(C15:E15)</f>
        <v>1293003</v>
      </c>
    </row>
    <row r="16" spans="1:6" x14ac:dyDescent="0.35">
      <c r="A16" s="82" t="s">
        <v>118</v>
      </c>
      <c r="B16" s="75">
        <v>4</v>
      </c>
      <c r="C16" s="76">
        <f>(C6-C13-C14-C15)*C11</f>
        <v>1163702.7</v>
      </c>
      <c r="D16" s="76">
        <f>(D6-D13-D14-D15)*D11</f>
        <v>0</v>
      </c>
      <c r="E16" s="76">
        <f>(E6-E13-E14-E15)*E11</f>
        <v>0</v>
      </c>
      <c r="F16" s="76">
        <f t="shared" si="0"/>
        <v>1163702.7</v>
      </c>
    </row>
    <row r="17" spans="1:6" x14ac:dyDescent="0.35">
      <c r="A17" s="82" t="s">
        <v>118</v>
      </c>
      <c r="B17" s="75">
        <v>5</v>
      </c>
      <c r="C17" s="76">
        <f>(C6-C13-C14-C15-C16)*C11</f>
        <v>1047332.4300000002</v>
      </c>
      <c r="D17" s="76">
        <f>(D6-D13-D14-D15-D16)*D11</f>
        <v>0</v>
      </c>
      <c r="E17" s="76">
        <f>(E6-E13-E14-E15-E16)*E11</f>
        <v>0</v>
      </c>
      <c r="F17" s="76">
        <f t="shared" si="0"/>
        <v>1047332.4300000002</v>
      </c>
    </row>
    <row r="18" spans="1:6" x14ac:dyDescent="0.35">
      <c r="A18" s="82" t="s">
        <v>118</v>
      </c>
      <c r="B18" s="75">
        <v>6</v>
      </c>
      <c r="C18" s="76">
        <f>(C6-C13-C14-C15-C16-C17)*C11</f>
        <v>942599.18700000015</v>
      </c>
      <c r="D18" s="76">
        <f>(D6-D13-D14-D15-D16-D17)*D11</f>
        <v>0</v>
      </c>
      <c r="E18" s="76">
        <f>(E6-E13-E14-E15-E16-E17)*E11</f>
        <v>0</v>
      </c>
      <c r="F18" s="76">
        <f t="shared" si="0"/>
        <v>942599.18700000015</v>
      </c>
    </row>
    <row r="19" spans="1:6" x14ac:dyDescent="0.35">
      <c r="A19" s="82" t="s">
        <v>118</v>
      </c>
      <c r="B19" s="75">
        <v>7</v>
      </c>
      <c r="C19" s="76">
        <f>(C6-C13-C14-C15-C16-C17-C18)*C11</f>
        <v>848339.26830000011</v>
      </c>
      <c r="D19" s="76">
        <f>(D6-D13-D14-D15-D16-D17-D18)*D11</f>
        <v>0</v>
      </c>
      <c r="E19" s="76">
        <f>(E6-E13-E14-E15-E16-E17-E18)*E11</f>
        <v>0</v>
      </c>
      <c r="F19" s="76">
        <f t="shared" si="0"/>
        <v>848339.26830000011</v>
      </c>
    </row>
    <row r="20" spans="1:6" x14ac:dyDescent="0.35">
      <c r="A20" s="82" t="s">
        <v>118</v>
      </c>
      <c r="B20" s="75">
        <v>8</v>
      </c>
      <c r="C20" s="76">
        <f>(C6-C13-C14-C15-C16-C17-C18-C19)*C11</f>
        <v>763505.34146999998</v>
      </c>
      <c r="D20" s="76">
        <f>(D6-D13-D14-D15-D16-D17-D18-D19)*D11</f>
        <v>0</v>
      </c>
      <c r="E20" s="76">
        <f>(E6-E13-E14-E15-E16-E17-E18-E19)*E11</f>
        <v>0</v>
      </c>
      <c r="F20" s="76">
        <f t="shared" si="0"/>
        <v>763505.34146999998</v>
      </c>
    </row>
    <row r="21" spans="1:6" x14ac:dyDescent="0.35">
      <c r="A21" s="82" t="s">
        <v>118</v>
      </c>
      <c r="B21" s="75">
        <v>9</v>
      </c>
      <c r="C21" s="76">
        <f>(C6-C13-C14-C15-C16-C17-C18-C19-C20)*C11</f>
        <v>687154.80732299993</v>
      </c>
      <c r="D21" s="76">
        <f>(D6-D13-D14-D15-D16-D17-D18-D19-D20)*D11</f>
        <v>0</v>
      </c>
      <c r="E21" s="76">
        <f>(E6-E13-E14-E15-E16-E17-E18-E19-E20)*E11</f>
        <v>0</v>
      </c>
      <c r="F21" s="76">
        <f t="shared" si="0"/>
        <v>687154.80732299993</v>
      </c>
    </row>
    <row r="22" spans="1:6" x14ac:dyDescent="0.35">
      <c r="B22" s="1"/>
    </row>
  </sheetData>
  <mergeCells count="1">
    <mergeCell ref="B9:E9"/>
  </mergeCells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521A-756D-4D90-8C99-73BDFD6A7811}">
  <sheetPr>
    <pageSetUpPr fitToPage="1"/>
  </sheetPr>
  <dimension ref="A1:J14"/>
  <sheetViews>
    <sheetView workbookViewId="0">
      <selection activeCell="A7" sqref="A7:A14"/>
    </sheetView>
  </sheetViews>
  <sheetFormatPr defaultRowHeight="14.5" x14ac:dyDescent="0.35"/>
  <cols>
    <col min="1" max="1" width="18" bestFit="1" customWidth="1"/>
    <col min="2" max="10" width="13.6328125" bestFit="1" customWidth="1"/>
  </cols>
  <sheetData>
    <row r="1" spans="1:10" x14ac:dyDescent="0.35">
      <c r="A1" s="22" t="s">
        <v>161</v>
      </c>
    </row>
    <row r="3" spans="1:10" x14ac:dyDescent="0.35">
      <c r="A3" s="3" t="s">
        <v>162</v>
      </c>
    </row>
    <row r="5" spans="1:10" x14ac:dyDescent="0.35">
      <c r="A5" s="84" t="s">
        <v>3</v>
      </c>
      <c r="B5" s="84" t="s">
        <v>94</v>
      </c>
      <c r="C5" s="84"/>
      <c r="D5" s="84"/>
      <c r="E5" s="84"/>
      <c r="F5" s="84"/>
      <c r="G5" s="84"/>
      <c r="H5" s="84"/>
      <c r="I5" s="84"/>
      <c r="J5" s="84"/>
    </row>
    <row r="6" spans="1:10" x14ac:dyDescent="0.35">
      <c r="A6" s="84"/>
      <c r="B6" s="34" t="s">
        <v>85</v>
      </c>
      <c r="C6" s="34" t="s">
        <v>86</v>
      </c>
      <c r="D6" s="34" t="s">
        <v>87</v>
      </c>
      <c r="E6" s="34" t="s">
        <v>88</v>
      </c>
      <c r="F6" s="34" t="s">
        <v>89</v>
      </c>
      <c r="G6" s="34" t="s">
        <v>90</v>
      </c>
      <c r="H6" s="34" t="s">
        <v>91</v>
      </c>
      <c r="I6" s="34" t="s">
        <v>92</v>
      </c>
      <c r="J6" s="34" t="s">
        <v>93</v>
      </c>
    </row>
    <row r="7" spans="1:10" x14ac:dyDescent="0.35">
      <c r="A7" s="12" t="s">
        <v>163</v>
      </c>
      <c r="B7" s="29">
        <f>'Ann 4'!C22</f>
        <v>27424450</v>
      </c>
      <c r="C7" s="29">
        <f>'Ann 4'!D22</f>
        <v>31215758.559999995</v>
      </c>
      <c r="D7" s="29">
        <f>'Ann 4'!E22</f>
        <v>35350814.254599988</v>
      </c>
      <c r="E7" s="29">
        <f>'Ann 4'!F22</f>
        <v>39828805.383461989</v>
      </c>
      <c r="F7" s="29">
        <f>'Ann 4'!G22</f>
        <v>44675338.265398636</v>
      </c>
      <c r="G7" s="29">
        <f>'Ann 4'!H22</f>
        <v>49959243.297544546</v>
      </c>
      <c r="H7" s="29">
        <f>'Ann 4'!I22</f>
        <v>52914365.47148335</v>
      </c>
      <c r="I7" s="29">
        <f>'Ann 4'!J22</f>
        <v>55848267.344420835</v>
      </c>
      <c r="J7" s="29">
        <f>'Ann 4'!K22</f>
        <v>58943150.176215336</v>
      </c>
    </row>
    <row r="8" spans="1:10" x14ac:dyDescent="0.35">
      <c r="A8" s="12" t="s">
        <v>164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</row>
    <row r="9" spans="1:10" x14ac:dyDescent="0.35">
      <c r="A9" s="12" t="s">
        <v>165</v>
      </c>
      <c r="B9" s="29">
        <f>B7+B8</f>
        <v>27424450</v>
      </c>
      <c r="C9" s="29">
        <f t="shared" ref="C9:J9" si="0">C7+C8</f>
        <v>31215758.559999995</v>
      </c>
      <c r="D9" s="29">
        <f t="shared" si="0"/>
        <v>35350814.254599988</v>
      </c>
      <c r="E9" s="29">
        <f t="shared" si="0"/>
        <v>39828805.383461989</v>
      </c>
      <c r="F9" s="29">
        <f t="shared" si="0"/>
        <v>44675338.265398636</v>
      </c>
      <c r="G9" s="29">
        <f t="shared" si="0"/>
        <v>49959243.297544546</v>
      </c>
      <c r="H9" s="29">
        <f t="shared" si="0"/>
        <v>52914365.47148335</v>
      </c>
      <c r="I9" s="29">
        <f t="shared" si="0"/>
        <v>55848267.344420835</v>
      </c>
      <c r="J9" s="29">
        <f t="shared" si="0"/>
        <v>58943150.176215336</v>
      </c>
    </row>
    <row r="10" spans="1:10" x14ac:dyDescent="0.35">
      <c r="A10" s="12" t="s">
        <v>166</v>
      </c>
      <c r="B10" s="29">
        <f>SUM('Ann 9'!C13:E13)</f>
        <v>1596300</v>
      </c>
      <c r="C10" s="29">
        <f>SUM('Ann 9'!C14:E14)</f>
        <v>1436670</v>
      </c>
      <c r="D10" s="29">
        <f>SUM('Ann 9'!C15:E15)</f>
        <v>1293003</v>
      </c>
      <c r="E10" s="29">
        <f>SUM('Ann 9'!C16:E16)</f>
        <v>1163702.7</v>
      </c>
      <c r="F10" s="29">
        <f>SUM('Ann 9'!C17:E17)</f>
        <v>1047332.4300000002</v>
      </c>
      <c r="G10" s="29">
        <f>SUM('Ann 9'!C18:E18)</f>
        <v>942599.18700000015</v>
      </c>
      <c r="H10" s="29">
        <f>SUM('Ann 9'!C19:E19)</f>
        <v>848339.26830000011</v>
      </c>
      <c r="I10" s="29">
        <f>SUM('Ann 9'!C20:E20)</f>
        <v>763505.34146999998</v>
      </c>
      <c r="J10" s="29">
        <f>SUM('Ann 9'!C21:E21)</f>
        <v>687154.80732299993</v>
      </c>
    </row>
    <row r="11" spans="1:10" x14ac:dyDescent="0.35">
      <c r="A11" s="12" t="s">
        <v>165</v>
      </c>
      <c r="B11" s="29">
        <f>B9-B10</f>
        <v>25828150</v>
      </c>
      <c r="C11" s="29">
        <f t="shared" ref="C11:J11" si="1">C9-C10</f>
        <v>29779088.559999995</v>
      </c>
      <c r="D11" s="29">
        <f t="shared" si="1"/>
        <v>34057811.254599988</v>
      </c>
      <c r="E11" s="29">
        <f t="shared" si="1"/>
        <v>38665102.683461986</v>
      </c>
      <c r="F11" s="29">
        <f t="shared" si="1"/>
        <v>43628005.835398637</v>
      </c>
      <c r="G11" s="29">
        <f t="shared" si="1"/>
        <v>49016644.110544547</v>
      </c>
      <c r="H11" s="29">
        <f t="shared" si="1"/>
        <v>52066026.203183353</v>
      </c>
      <c r="I11" s="29">
        <f t="shared" si="1"/>
        <v>55084762.002950832</v>
      </c>
      <c r="J11" s="29">
        <f t="shared" si="1"/>
        <v>58255995.368892334</v>
      </c>
    </row>
    <row r="12" spans="1:10" x14ac:dyDescent="0.35">
      <c r="A12" s="12" t="s">
        <v>167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</row>
    <row r="13" spans="1:10" x14ac:dyDescent="0.35">
      <c r="A13" s="12" t="s">
        <v>168</v>
      </c>
      <c r="B13" s="43">
        <f>B11</f>
        <v>25828150</v>
      </c>
      <c r="C13" s="43">
        <f t="shared" ref="C13:J13" si="2">C11</f>
        <v>29779088.559999995</v>
      </c>
      <c r="D13" s="43">
        <f t="shared" si="2"/>
        <v>34057811.254599988</v>
      </c>
      <c r="E13" s="43">
        <f t="shared" si="2"/>
        <v>38665102.683461986</v>
      </c>
      <c r="F13" s="43">
        <f t="shared" si="2"/>
        <v>43628005.835398637</v>
      </c>
      <c r="G13" s="43">
        <f t="shared" si="2"/>
        <v>49016644.110544547</v>
      </c>
      <c r="H13" s="43">
        <f t="shared" si="2"/>
        <v>52066026.203183353</v>
      </c>
      <c r="I13" s="43">
        <f t="shared" si="2"/>
        <v>55084762.002950832</v>
      </c>
      <c r="J13" s="43">
        <f t="shared" si="2"/>
        <v>58255995.368892334</v>
      </c>
    </row>
    <row r="14" spans="1:10" x14ac:dyDescent="0.35">
      <c r="A14" s="12" t="s">
        <v>169</v>
      </c>
      <c r="B14" s="43">
        <f>B13*30%</f>
        <v>7748445</v>
      </c>
      <c r="C14" s="43">
        <f t="shared" ref="C14:J14" si="3">C13*30%</f>
        <v>8933726.5679999981</v>
      </c>
      <c r="D14" s="43">
        <f t="shared" si="3"/>
        <v>10217343.376379997</v>
      </c>
      <c r="E14" s="43">
        <f t="shared" si="3"/>
        <v>11599530.805038596</v>
      </c>
      <c r="F14" s="43">
        <f t="shared" si="3"/>
        <v>13088401.75061959</v>
      </c>
      <c r="G14" s="43">
        <f t="shared" si="3"/>
        <v>14704993.233163364</v>
      </c>
      <c r="H14" s="43">
        <f t="shared" si="3"/>
        <v>15619807.860955006</v>
      </c>
      <c r="I14" s="43">
        <f t="shared" si="3"/>
        <v>16525428.60088525</v>
      </c>
      <c r="J14" s="43">
        <f t="shared" si="3"/>
        <v>17476798.610667698</v>
      </c>
    </row>
  </sheetData>
  <mergeCells count="2">
    <mergeCell ref="B5:J5"/>
    <mergeCell ref="A5:A6"/>
  </mergeCells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Ann 1</vt:lpstr>
      <vt:lpstr>Ann 2</vt:lpstr>
      <vt:lpstr>Ann 3</vt:lpstr>
      <vt:lpstr>Ann 4</vt:lpstr>
      <vt:lpstr>Ann 5</vt:lpstr>
      <vt:lpstr>Ann 8</vt:lpstr>
      <vt:lpstr>Ann 9</vt:lpstr>
      <vt:lpstr>Ann 10</vt:lpstr>
      <vt:lpstr>Ann 11</vt:lpstr>
      <vt:lpstr>Ann 12</vt:lpstr>
      <vt:lpstr>Ann 13</vt:lpstr>
      <vt:lpstr>For word file</vt:lpstr>
      <vt:lpstr>Cash flows</vt:lpstr>
      <vt:lpstr>Assumptions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Navodita Arya</dc:creator>
  <cp:lastModifiedBy>Navodita Arya</cp:lastModifiedBy>
  <cp:lastPrinted>2021-07-15T07:25:18Z</cp:lastPrinted>
  <dcterms:created xsi:type="dcterms:W3CDTF">2021-07-04T07:21:16Z</dcterms:created>
  <dcterms:modified xsi:type="dcterms:W3CDTF">2021-07-15T07:35:58Z</dcterms:modified>
</cp:coreProperties>
</file>