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1. Assignments\6. Ashiwini Mittal uncle's bid for work\7. Mustard oil production\"/>
    </mc:Choice>
  </mc:AlternateContent>
  <xr:revisionPtr revIDLastSave="0" documentId="13_ncr:1_{67B18DBE-5CB8-405F-85E3-7C934E1CBEE3}"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8" sheetId="9" r:id="rId7"/>
    <sheet name="Ann 9" sheetId="10" r:id="rId8"/>
    <sheet name="Ann 10" sheetId="13" r:id="rId9"/>
    <sheet name="Ann 11" sheetId="11" r:id="rId10"/>
    <sheet name="Ann 12" sheetId="12" state="hidden" r:id="rId11"/>
    <sheet name="Ann 13" sheetId="14" r:id="rId12"/>
    <sheet name="Budgets" sheetId="19" r:id="rId13"/>
    <sheet name="Cash flows" sheetId="18" r:id="rId14"/>
    <sheet name="For word file" sheetId="20" state="hidden" r:id="rId15"/>
    <sheet name="Assumptions" sheetId="22" r:id="rId16"/>
    <sheet name="Sheet1" sheetId="15" state="hidden" r:id="rId17"/>
  </sheets>
  <externalReferences>
    <externalReference r:id="rId18"/>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1" i="7" l="1"/>
  <c r="K35" i="4" l="1"/>
  <c r="J35" i="4"/>
  <c r="I35" i="4"/>
  <c r="I34" i="4"/>
  <c r="C6" i="2"/>
  <c r="D12" i="4"/>
  <c r="E12" i="4"/>
  <c r="F12" i="4"/>
  <c r="G12" i="4"/>
  <c r="H12" i="4"/>
  <c r="I12" i="4"/>
  <c r="J12" i="4"/>
  <c r="K12" i="4"/>
  <c r="C12" i="4"/>
  <c r="D18" i="4"/>
  <c r="E18" i="4"/>
  <c r="F18" i="4"/>
  <c r="G18" i="4"/>
  <c r="H18" i="4"/>
  <c r="I18" i="4"/>
  <c r="J18" i="4"/>
  <c r="K18" i="4"/>
  <c r="C18" i="4"/>
  <c r="D5" i="22"/>
  <c r="E4" i="22"/>
  <c r="E5" i="22" s="1"/>
  <c r="D7" i="19"/>
  <c r="E7" i="19" s="1"/>
  <c r="F7" i="19" s="1"/>
  <c r="G7" i="19" s="1"/>
  <c r="H7" i="19" s="1"/>
  <c r="I7" i="19" s="1"/>
  <c r="J7" i="19" s="1"/>
  <c r="C7" i="19"/>
  <c r="D19" i="4"/>
  <c r="E19" i="4"/>
  <c r="F19" i="4"/>
  <c r="G19" i="4"/>
  <c r="H19" i="4"/>
  <c r="I19" i="4"/>
  <c r="J19" i="4"/>
  <c r="K19" i="4"/>
  <c r="C19" i="4"/>
  <c r="D7" i="4"/>
  <c r="E7" i="4"/>
  <c r="F7" i="4"/>
  <c r="G7" i="4"/>
  <c r="H7" i="4"/>
  <c r="I7" i="4"/>
  <c r="J7" i="4"/>
  <c r="K7" i="4"/>
  <c r="C7" i="4"/>
  <c r="C24" i="7" s="1"/>
  <c r="D22" i="11"/>
  <c r="E9" i="11"/>
  <c r="E12" i="9"/>
  <c r="A6" i="21"/>
  <c r="F4" i="22" l="1"/>
  <c r="C19" i="1"/>
  <c r="G5" i="3"/>
  <c r="G20" i="3" s="1"/>
  <c r="C11" i="1"/>
  <c r="I34" i="7"/>
  <c r="J34" i="7"/>
  <c r="K34" i="7"/>
  <c r="A13" i="21"/>
  <c r="A11" i="21"/>
  <c r="A10" i="21"/>
  <c r="A9" i="21"/>
  <c r="C4" i="18"/>
  <c r="K47" i="7"/>
  <c r="J47" i="7"/>
  <c r="D23" i="7"/>
  <c r="E23" i="7"/>
  <c r="F23" i="7"/>
  <c r="G23" i="7"/>
  <c r="H23" i="7"/>
  <c r="I23" i="7"/>
  <c r="J23" i="7"/>
  <c r="K23" i="7"/>
  <c r="C23" i="7"/>
  <c r="E8" i="9"/>
  <c r="A15" i="21"/>
  <c r="F5" i="22" l="1"/>
  <c r="G4" i="22"/>
  <c r="A16" i="21"/>
  <c r="A14" i="21"/>
  <c r="A12" i="21"/>
  <c r="A8" i="21"/>
  <c r="A7" i="21"/>
  <c r="A5" i="21"/>
  <c r="A4" i="21"/>
  <c r="B6" i="18"/>
  <c r="D21" i="11"/>
  <c r="C22" i="18"/>
  <c r="K22" i="18"/>
  <c r="J22" i="18"/>
  <c r="I22" i="18"/>
  <c r="H22" i="18"/>
  <c r="G22" i="18"/>
  <c r="F22" i="18"/>
  <c r="E22" i="18"/>
  <c r="D22" i="18"/>
  <c r="G5" i="22" l="1"/>
  <c r="H4" i="22"/>
  <c r="D23" i="11"/>
  <c r="D26" i="11"/>
  <c r="C44" i="4"/>
  <c r="C8" i="4" s="1"/>
  <c r="G18" i="3"/>
  <c r="I41" i="7"/>
  <c r="J41" i="7"/>
  <c r="K41" i="7"/>
  <c r="H5" i="22" l="1"/>
  <c r="I4" i="22"/>
  <c r="D43" i="4"/>
  <c r="D44" i="4" s="1"/>
  <c r="D8" i="4" s="1"/>
  <c r="B15" i="19"/>
  <c r="B18" i="19" s="1"/>
  <c r="I5" i="22" l="1"/>
  <c r="J4" i="22"/>
  <c r="D24" i="11"/>
  <c r="E43" i="4"/>
  <c r="E44" i="4" s="1"/>
  <c r="E8" i="4" s="1"/>
  <c r="B5" i="19"/>
  <c r="I5" i="19"/>
  <c r="J9" i="4" s="1"/>
  <c r="H5" i="19"/>
  <c r="I9" i="4" s="1"/>
  <c r="D5" i="19"/>
  <c r="E9" i="4" s="1"/>
  <c r="G5" i="19"/>
  <c r="H9" i="4" s="1"/>
  <c r="F5" i="19"/>
  <c r="G9" i="4" s="1"/>
  <c r="E5" i="19"/>
  <c r="F9" i="4" s="1"/>
  <c r="C5" i="19"/>
  <c r="D9" i="4" s="1"/>
  <c r="J5" i="19"/>
  <c r="K9" i="4" s="1"/>
  <c r="K4" i="22" l="1"/>
  <c r="J5" i="22"/>
  <c r="J24" i="7"/>
  <c r="B7" i="19"/>
  <c r="C9" i="4"/>
  <c r="I24" i="7"/>
  <c r="G24" i="7"/>
  <c r="E24" i="7"/>
  <c r="K24" i="7"/>
  <c r="D24" i="7"/>
  <c r="F24" i="7"/>
  <c r="H24" i="7"/>
  <c r="F43" i="4"/>
  <c r="F44" i="4" s="1"/>
  <c r="F8" i="4" s="1"/>
  <c r="F23" i="19"/>
  <c r="G23" i="19"/>
  <c r="D23" i="19"/>
  <c r="D6" i="19"/>
  <c r="H23" i="19"/>
  <c r="I23" i="19"/>
  <c r="J23" i="19"/>
  <c r="B23" i="19"/>
  <c r="B24" i="19" s="1"/>
  <c r="B6" i="19"/>
  <c r="E23" i="19"/>
  <c r="E6" i="19"/>
  <c r="C23" i="19"/>
  <c r="C6" i="19"/>
  <c r="K5" i="22" l="1"/>
  <c r="L4" i="22"/>
  <c r="L5" i="22" s="1"/>
  <c r="K23" i="4"/>
  <c r="K17" i="4" s="1"/>
  <c r="E7" i="11"/>
  <c r="E8" i="11" s="1"/>
  <c r="C23" i="4"/>
  <c r="G43" i="4"/>
  <c r="G44" i="4" s="1"/>
  <c r="G8" i="4" s="1"/>
  <c r="D25" i="19"/>
  <c r="E25" i="19"/>
  <c r="B25" i="19"/>
  <c r="B26" i="19" s="1"/>
  <c r="C25" i="19"/>
  <c r="F5" i="11" l="1"/>
  <c r="C17" i="4"/>
  <c r="E23" i="4"/>
  <c r="I23" i="4"/>
  <c r="J23" i="4"/>
  <c r="D23" i="4"/>
  <c r="F23" i="4"/>
  <c r="G23" i="4"/>
  <c r="H23" i="4"/>
  <c r="J3" i="20"/>
  <c r="K13" i="7"/>
  <c r="C13" i="7"/>
  <c r="C8" i="18" s="1"/>
  <c r="C23" i="18" s="1"/>
  <c r="B3" i="20"/>
  <c r="H43" i="4"/>
  <c r="H44" i="4" s="1"/>
  <c r="H8" i="4" s="1"/>
  <c r="C22" i="19"/>
  <c r="I13" i="7" l="1"/>
  <c r="I17" i="4"/>
  <c r="D3" i="20"/>
  <c r="E17" i="4"/>
  <c r="G13" i="7"/>
  <c r="G17" i="4"/>
  <c r="F13" i="7"/>
  <c r="F17" i="4"/>
  <c r="C3" i="20"/>
  <c r="D17" i="4"/>
  <c r="I3" i="20"/>
  <c r="J17" i="4"/>
  <c r="G3" i="20"/>
  <c r="H17" i="4"/>
  <c r="H3" i="20"/>
  <c r="E13" i="7"/>
  <c r="E8" i="18" s="1"/>
  <c r="J13" i="7"/>
  <c r="D13" i="7"/>
  <c r="D8" i="18" s="1"/>
  <c r="E3" i="20"/>
  <c r="F3" i="20"/>
  <c r="H13" i="7"/>
  <c r="C26" i="19"/>
  <c r="C24" i="19"/>
  <c r="I43" i="4"/>
  <c r="D11" i="4"/>
  <c r="C12" i="7"/>
  <c r="I44" i="4" l="1"/>
  <c r="I8" i="4" s="1"/>
  <c r="J43" i="4"/>
  <c r="K43" i="4" s="1"/>
  <c r="E11" i="11" s="1"/>
  <c r="D28" i="11" s="1"/>
  <c r="D22" i="19"/>
  <c r="D26" i="19" s="1"/>
  <c r="E11" i="4"/>
  <c r="D12" i="7"/>
  <c r="J44" i="4" l="1"/>
  <c r="J8" i="4" s="1"/>
  <c r="D24" i="19"/>
  <c r="E12" i="7"/>
  <c r="E22" i="19"/>
  <c r="E24" i="19" s="1"/>
  <c r="E26" i="19"/>
  <c r="D13" i="14"/>
  <c r="C12" i="1"/>
  <c r="C6" i="10" s="1"/>
  <c r="C35" i="1"/>
  <c r="C32" i="4" s="1"/>
  <c r="J29" i="4"/>
  <c r="K29" i="4"/>
  <c r="K12" i="18" s="1"/>
  <c r="D9" i="18"/>
  <c r="C47" i="7" l="1"/>
  <c r="F11" i="4"/>
  <c r="F22" i="19"/>
  <c r="K44" i="4"/>
  <c r="K8" i="4" s="1"/>
  <c r="D14" i="14"/>
  <c r="C18" i="18"/>
  <c r="G11" i="4"/>
  <c r="F12" i="7"/>
  <c r="J12" i="18"/>
  <c r="J46" i="7"/>
  <c r="K46" i="7"/>
  <c r="C29" i="7"/>
  <c r="E6" i="9"/>
  <c r="E17" i="9"/>
  <c r="D15" i="14" l="1"/>
  <c r="D16" i="14" s="1"/>
  <c r="D17" i="14" s="1"/>
  <c r="D18" i="14" s="1"/>
  <c r="D19" i="14" s="1"/>
  <c r="D47" i="7"/>
  <c r="F24" i="19"/>
  <c r="F6" i="19" s="1"/>
  <c r="E9" i="18"/>
  <c r="D18" i="18" l="1"/>
  <c r="D20" i="14"/>
  <c r="D21" i="14" s="1"/>
  <c r="D22" i="14" s="1"/>
  <c r="E18" i="18"/>
  <c r="F25" i="19"/>
  <c r="F26" i="19" s="1"/>
  <c r="C10" i="4"/>
  <c r="D10" i="4"/>
  <c r="D13" i="4" s="1"/>
  <c r="D23" i="14"/>
  <c r="D24" i="14" s="1"/>
  <c r="D25" i="14" s="1"/>
  <c r="D26" i="14" s="1"/>
  <c r="D29" i="7"/>
  <c r="F9" i="18"/>
  <c r="D4" i="14"/>
  <c r="E12" i="10"/>
  <c r="D29" i="11"/>
  <c r="J48" i="7"/>
  <c r="K48" i="7"/>
  <c r="C12" i="10"/>
  <c r="C20" i="1"/>
  <c r="D6" i="10" s="1"/>
  <c r="D12" i="10" s="1"/>
  <c r="D13" i="10" s="1"/>
  <c r="C16" i="1"/>
  <c r="F8" i="10"/>
  <c r="F7" i="10"/>
  <c r="E9" i="9"/>
  <c r="E7" i="9"/>
  <c r="C9" i="1"/>
  <c r="E47" i="7" l="1"/>
  <c r="F18" i="18"/>
  <c r="F47" i="7"/>
  <c r="G22" i="19"/>
  <c r="C11" i="14"/>
  <c r="E11" i="14" s="1"/>
  <c r="C39" i="1"/>
  <c r="C8" i="2" s="1"/>
  <c r="C9" i="7"/>
  <c r="F6" i="10"/>
  <c r="F12" i="10"/>
  <c r="F15" i="11" s="1"/>
  <c r="C33" i="4"/>
  <c r="C13" i="4"/>
  <c r="D10" i="18"/>
  <c r="C7" i="15"/>
  <c r="D27" i="14"/>
  <c r="E10" i="9"/>
  <c r="E29" i="7"/>
  <c r="G9" i="18"/>
  <c r="E10" i="18"/>
  <c r="C10" i="7"/>
  <c r="B10" i="13"/>
  <c r="C13" i="10"/>
  <c r="C3" i="15"/>
  <c r="C10" i="14"/>
  <c r="E10" i="14" s="1"/>
  <c r="C12" i="14"/>
  <c r="E12" i="14" s="1"/>
  <c r="E13" i="10"/>
  <c r="K6" i="12"/>
  <c r="E5" i="12"/>
  <c r="H6" i="12"/>
  <c r="E6" i="12"/>
  <c r="D6" i="12"/>
  <c r="F6" i="12"/>
  <c r="F5" i="12"/>
  <c r="G5" i="12"/>
  <c r="I6" i="12"/>
  <c r="D14" i="10"/>
  <c r="G24" i="19" l="1"/>
  <c r="G6" i="19" s="1"/>
  <c r="H11" i="4"/>
  <c r="G12" i="7"/>
  <c r="F9" i="10"/>
  <c r="B7" i="18"/>
  <c r="B25" i="18" s="1"/>
  <c r="B26" i="18" s="1"/>
  <c r="F13" i="10"/>
  <c r="C11" i="7"/>
  <c r="D9" i="7" s="1"/>
  <c r="E10" i="4"/>
  <c r="E13" i="4" s="1"/>
  <c r="D28" i="14"/>
  <c r="C13" i="14"/>
  <c r="E13" i="14" s="1"/>
  <c r="E13" i="9"/>
  <c r="F29" i="7"/>
  <c r="F3" i="15"/>
  <c r="F10" i="18"/>
  <c r="H9" i="18"/>
  <c r="C14" i="10"/>
  <c r="F14" i="10" s="1"/>
  <c r="C10" i="13"/>
  <c r="D33" i="4"/>
  <c r="D10" i="7"/>
  <c r="E3" i="15"/>
  <c r="D3" i="15"/>
  <c r="E14" i="10"/>
  <c r="H5" i="12"/>
  <c r="J5" i="12"/>
  <c r="C6" i="12"/>
  <c r="J6" i="12"/>
  <c r="D5" i="12"/>
  <c r="I5" i="12"/>
  <c r="C5" i="12"/>
  <c r="G6" i="12"/>
  <c r="K5" i="12"/>
  <c r="D15" i="10"/>
  <c r="D16" i="10" s="1"/>
  <c r="D17" i="10" s="1"/>
  <c r="G25" i="19" l="1"/>
  <c r="G26" i="19" s="1"/>
  <c r="E15" i="9"/>
  <c r="C16" i="4"/>
  <c r="D16" i="4" s="1"/>
  <c r="E16" i="4" s="1"/>
  <c r="F16" i="4" s="1"/>
  <c r="G16" i="4" s="1"/>
  <c r="H16" i="4" s="1"/>
  <c r="I16" i="4" s="1"/>
  <c r="J16" i="4" s="1"/>
  <c r="K16" i="4" s="1"/>
  <c r="F17" i="11"/>
  <c r="C18" i="7"/>
  <c r="B5" i="18" s="1"/>
  <c r="C40" i="7"/>
  <c r="F10" i="4"/>
  <c r="F13" i="4" s="1"/>
  <c r="D29" i="14"/>
  <c r="G47" i="7" s="1"/>
  <c r="C14" i="14"/>
  <c r="E14" i="14" s="1"/>
  <c r="G29" i="7"/>
  <c r="I9" i="18"/>
  <c r="G10" i="18"/>
  <c r="D11" i="7"/>
  <c r="D40" i="7" s="1"/>
  <c r="E33" i="4"/>
  <c r="E10" i="7"/>
  <c r="D10" i="13"/>
  <c r="C15" i="10"/>
  <c r="E15" i="10"/>
  <c r="D18" i="10"/>
  <c r="C24" i="18" l="1"/>
  <c r="B23" i="18"/>
  <c r="F14" i="11"/>
  <c r="H22" i="19"/>
  <c r="H24" i="19" s="1"/>
  <c r="H6" i="19" s="1"/>
  <c r="C20" i="4"/>
  <c r="C11" i="18" s="1"/>
  <c r="F15" i="10"/>
  <c r="C27" i="4"/>
  <c r="C29" i="4" s="1"/>
  <c r="G10" i="4"/>
  <c r="G13" i="4" s="1"/>
  <c r="D30" i="14"/>
  <c r="G18" i="18"/>
  <c r="C22" i="7"/>
  <c r="C15" i="14"/>
  <c r="E15" i="14" s="1"/>
  <c r="F8" i="18"/>
  <c r="H29" i="7"/>
  <c r="H10" i="18"/>
  <c r="G3" i="15"/>
  <c r="J9" i="18"/>
  <c r="E9" i="7"/>
  <c r="E11" i="7" s="1"/>
  <c r="E40" i="7" s="1"/>
  <c r="F10" i="7"/>
  <c r="E10" i="13"/>
  <c r="F33" i="4"/>
  <c r="C16" i="10"/>
  <c r="C17" i="10" s="1"/>
  <c r="E16" i="10"/>
  <c r="D19" i="10"/>
  <c r="D20" i="10" s="1"/>
  <c r="B28" i="18" l="1"/>
  <c r="B24" i="18"/>
  <c r="B29" i="18" s="1"/>
  <c r="C41" i="7"/>
  <c r="C42" i="7" s="1"/>
  <c r="C34" i="7"/>
  <c r="H25" i="19"/>
  <c r="H26" i="19" s="1"/>
  <c r="I11" i="4"/>
  <c r="H12" i="7"/>
  <c r="C22" i="4"/>
  <c r="C24" i="4" s="1"/>
  <c r="C49" i="7" s="1"/>
  <c r="D20" i="4"/>
  <c r="D11" i="18" s="1"/>
  <c r="F16" i="10"/>
  <c r="C46" i="7"/>
  <c r="C48" i="7" s="1"/>
  <c r="C12" i="18"/>
  <c r="C13" i="18" s="1"/>
  <c r="E20" i="4"/>
  <c r="H10" i="4"/>
  <c r="H13" i="4" s="1"/>
  <c r="D31" i="14"/>
  <c r="D32" i="14" s="1"/>
  <c r="D33" i="14" s="1"/>
  <c r="D34" i="14" s="1"/>
  <c r="C16" i="14"/>
  <c r="E16" i="14" s="1"/>
  <c r="G8" i="18"/>
  <c r="I29" i="7"/>
  <c r="K9" i="18"/>
  <c r="I10" i="18"/>
  <c r="H3" i="15"/>
  <c r="F9" i="7"/>
  <c r="F11" i="7" s="1"/>
  <c r="F40" i="7" s="1"/>
  <c r="G10" i="7"/>
  <c r="F10" i="13"/>
  <c r="G33" i="4"/>
  <c r="C18" i="10"/>
  <c r="E17" i="10"/>
  <c r="H33" i="4" s="1"/>
  <c r="H47" i="7" l="1"/>
  <c r="H18" i="18"/>
  <c r="D22" i="4"/>
  <c r="D24" i="4" s="1"/>
  <c r="D49" i="7" s="1"/>
  <c r="I22" i="19"/>
  <c r="I24" i="19" s="1"/>
  <c r="I6" i="19" s="1"/>
  <c r="B4" i="20"/>
  <c r="B5" i="20" s="1"/>
  <c r="B6" i="20" s="1"/>
  <c r="C31" i="4"/>
  <c r="F17" i="10"/>
  <c r="C50" i="7"/>
  <c r="F20" i="4"/>
  <c r="E11" i="18"/>
  <c r="E22" i="4"/>
  <c r="I10" i="4"/>
  <c r="C17" i="14"/>
  <c r="E17" i="14" s="1"/>
  <c r="H8" i="18"/>
  <c r="K29" i="7"/>
  <c r="J29" i="7"/>
  <c r="J10" i="18"/>
  <c r="I3" i="15"/>
  <c r="G9" i="7"/>
  <c r="G11" i="7" s="1"/>
  <c r="H10" i="7"/>
  <c r="G10" i="13"/>
  <c r="C19" i="10"/>
  <c r="E18" i="10"/>
  <c r="E19" i="10" s="1"/>
  <c r="I47" i="7" l="1"/>
  <c r="C35" i="4"/>
  <c r="B7" i="20" s="1"/>
  <c r="C4" i="20"/>
  <c r="C5" i="20" s="1"/>
  <c r="C6" i="20" s="1"/>
  <c r="I25" i="19"/>
  <c r="I26" i="19" s="1"/>
  <c r="I12" i="7"/>
  <c r="J11" i="4"/>
  <c r="I13" i="4"/>
  <c r="B7" i="13"/>
  <c r="B9" i="13" s="1"/>
  <c r="B11" i="13" s="1"/>
  <c r="B13" i="13" s="1"/>
  <c r="B14" i="13" s="1"/>
  <c r="C36" i="4" s="1"/>
  <c r="C14" i="18" s="1"/>
  <c r="F18" i="10"/>
  <c r="E24" i="4"/>
  <c r="E49" i="7" s="1"/>
  <c r="D4" i="20"/>
  <c r="C20" i="10"/>
  <c r="F19" i="10"/>
  <c r="F11" i="11"/>
  <c r="F12" i="11" s="1"/>
  <c r="G20" i="4"/>
  <c r="F11" i="18"/>
  <c r="F22" i="4"/>
  <c r="J10" i="4"/>
  <c r="K10" i="4"/>
  <c r="C18" i="14"/>
  <c r="E18" i="14" s="1"/>
  <c r="D27" i="4"/>
  <c r="D29" i="4" s="1"/>
  <c r="I8" i="18"/>
  <c r="K10" i="18"/>
  <c r="G40" i="7"/>
  <c r="H9" i="7"/>
  <c r="H11" i="7" s="1"/>
  <c r="I10" i="7"/>
  <c r="I33" i="4"/>
  <c r="H10" i="13"/>
  <c r="I10" i="13"/>
  <c r="J10" i="7"/>
  <c r="J33" i="4"/>
  <c r="E20" i="10"/>
  <c r="C15" i="18" l="1"/>
  <c r="J22" i="19"/>
  <c r="J24" i="19" s="1"/>
  <c r="J6" i="19" s="1"/>
  <c r="C37" i="4"/>
  <c r="C38" i="4" s="1"/>
  <c r="F20" i="10"/>
  <c r="F24" i="4"/>
  <c r="F49" i="7" s="1"/>
  <c r="E4" i="20"/>
  <c r="E5" i="20" s="1"/>
  <c r="E6" i="20" s="1"/>
  <c r="D5" i="20"/>
  <c r="D6" i="20" s="1"/>
  <c r="K33" i="4"/>
  <c r="J10" i="13"/>
  <c r="G11" i="18"/>
  <c r="G22" i="4"/>
  <c r="F4" i="20" s="1"/>
  <c r="F5" i="20" s="1"/>
  <c r="F6" i="20" s="1"/>
  <c r="H20" i="4"/>
  <c r="D31" i="4"/>
  <c r="D35" i="4" s="1"/>
  <c r="D12" i="18"/>
  <c r="D46" i="7"/>
  <c r="D48" i="7" s="1"/>
  <c r="D50" i="7" s="1"/>
  <c r="D22" i="7"/>
  <c r="C19" i="14"/>
  <c r="E19" i="14" s="1"/>
  <c r="J8" i="18"/>
  <c r="K8" i="18"/>
  <c r="H40" i="7"/>
  <c r="I9" i="7"/>
  <c r="I11" i="7" s="1"/>
  <c r="J9" i="7" s="1"/>
  <c r="J11" i="7" s="1"/>
  <c r="K10" i="7"/>
  <c r="D41" i="7" l="1"/>
  <c r="D42" i="7" s="1"/>
  <c r="D34" i="7"/>
  <c r="C16" i="18"/>
  <c r="C25" i="18" s="1"/>
  <c r="J12" i="7"/>
  <c r="K11" i="4"/>
  <c r="J13" i="4"/>
  <c r="J25" i="19"/>
  <c r="J26" i="19" s="1"/>
  <c r="B8" i="20"/>
  <c r="C7" i="20"/>
  <c r="F18" i="11"/>
  <c r="D30" i="11" s="1"/>
  <c r="D31" i="11" s="1"/>
  <c r="C39" i="4"/>
  <c r="C19" i="7" s="1"/>
  <c r="C21" i="7" s="1"/>
  <c r="C25" i="7" s="1"/>
  <c r="H11" i="18"/>
  <c r="H22" i="4"/>
  <c r="G4" i="20" s="1"/>
  <c r="G5" i="20" s="1"/>
  <c r="G6" i="20" s="1"/>
  <c r="I20" i="4"/>
  <c r="C20" i="14"/>
  <c r="E20" i="14" s="1"/>
  <c r="C7" i="13"/>
  <c r="C9" i="13" s="1"/>
  <c r="C11" i="13" s="1"/>
  <c r="C13" i="13" s="1"/>
  <c r="C14" i="13" s="1"/>
  <c r="D36" i="4" s="1"/>
  <c r="D14" i="18" s="1"/>
  <c r="I40" i="7"/>
  <c r="J40" i="7"/>
  <c r="K9" i="7"/>
  <c r="K11" i="7" s="1"/>
  <c r="K40" i="7" s="1"/>
  <c r="G24" i="4"/>
  <c r="G49" i="7" s="1"/>
  <c r="C17" i="18" l="1"/>
  <c r="C19" i="18" s="1"/>
  <c r="C14" i="7" s="1"/>
  <c r="C15" i="7" s="1"/>
  <c r="C26" i="18"/>
  <c r="K13" i="4"/>
  <c r="C35" i="7"/>
  <c r="C36" i="7" s="1"/>
  <c r="D18" i="7"/>
  <c r="K20" i="4"/>
  <c r="J20" i="4"/>
  <c r="I11" i="18"/>
  <c r="I22" i="4"/>
  <c r="H4" i="20" s="1"/>
  <c r="H5" i="20" s="1"/>
  <c r="H6" i="20" s="1"/>
  <c r="I18" i="18"/>
  <c r="D37" i="4"/>
  <c r="D38" i="4" s="1"/>
  <c r="C21" i="14"/>
  <c r="E21" i="14" s="1"/>
  <c r="C28" i="7" l="1"/>
  <c r="C30" i="7" s="1"/>
  <c r="D4" i="18"/>
  <c r="D23" i="18" s="1"/>
  <c r="C28" i="18"/>
  <c r="C29" i="18" s="1"/>
  <c r="C8" i="20"/>
  <c r="D16" i="18"/>
  <c r="D25" i="18" s="1"/>
  <c r="K12" i="7"/>
  <c r="J11" i="18"/>
  <c r="J22" i="4"/>
  <c r="I4" i="20" s="1"/>
  <c r="I5" i="20" s="1"/>
  <c r="I6" i="20" s="1"/>
  <c r="K11" i="18"/>
  <c r="K22" i="4"/>
  <c r="J4" i="20" s="1"/>
  <c r="J5" i="20" s="1"/>
  <c r="J6" i="20" s="1"/>
  <c r="E27" i="4"/>
  <c r="E29" i="4" s="1"/>
  <c r="C22" i="14"/>
  <c r="E22" i="14" s="1"/>
  <c r="H24" i="4"/>
  <c r="H49" i="7" s="1"/>
  <c r="D13" i="18" l="1"/>
  <c r="D15" i="18" s="1"/>
  <c r="D17" i="18" s="1"/>
  <c r="D19" i="18" s="1"/>
  <c r="D14" i="7" s="1"/>
  <c r="D28" i="7" s="1"/>
  <c r="D30" i="7" s="1"/>
  <c r="D24" i="18"/>
  <c r="D26" i="18"/>
  <c r="D39" i="4"/>
  <c r="D19" i="7" s="1"/>
  <c r="D21" i="7" s="1"/>
  <c r="E18" i="7" s="1"/>
  <c r="E22" i="7"/>
  <c r="C23" i="14"/>
  <c r="E23" i="14" s="1"/>
  <c r="E46" i="7"/>
  <c r="E48" i="7" s="1"/>
  <c r="E50" i="7" s="1"/>
  <c r="E12" i="18"/>
  <c r="E31" i="4"/>
  <c r="E35" i="4" s="1"/>
  <c r="E41" i="7" l="1"/>
  <c r="E42" i="7" s="1"/>
  <c r="E34" i="7"/>
  <c r="D28" i="18"/>
  <c r="D29" i="18" s="1"/>
  <c r="D7" i="20"/>
  <c r="D15" i="7"/>
  <c r="E4" i="18"/>
  <c r="D25" i="7"/>
  <c r="D35" i="7"/>
  <c r="D36" i="7" s="1"/>
  <c r="D7" i="13"/>
  <c r="D9" i="13" s="1"/>
  <c r="D11" i="13" s="1"/>
  <c r="D13" i="13" s="1"/>
  <c r="D14" i="13" s="1"/>
  <c r="E36" i="4" s="1"/>
  <c r="E14" i="18" s="1"/>
  <c r="C24" i="14"/>
  <c r="E24" i="14" s="1"/>
  <c r="I24" i="4"/>
  <c r="I49" i="7" s="1"/>
  <c r="E23" i="18" l="1"/>
  <c r="E13" i="18"/>
  <c r="E15" i="18" s="1"/>
  <c r="E37" i="4"/>
  <c r="E38" i="4" s="1"/>
  <c r="C25" i="14"/>
  <c r="E25" i="14" s="1"/>
  <c r="E24" i="18" l="1"/>
  <c r="E16" i="18"/>
  <c r="D8" i="20"/>
  <c r="F27" i="4"/>
  <c r="F29" i="4" s="1"/>
  <c r="C26" i="14"/>
  <c r="E26" i="14" s="1"/>
  <c r="E25" i="18" l="1"/>
  <c r="E26" i="18" s="1"/>
  <c r="E39" i="4"/>
  <c r="E19" i="7" s="1"/>
  <c r="E21" i="7" s="1"/>
  <c r="E35" i="7" s="1"/>
  <c r="E36" i="7" s="1"/>
  <c r="E17" i="18"/>
  <c r="E19" i="18" s="1"/>
  <c r="F4" i="18" s="1"/>
  <c r="F22" i="7"/>
  <c r="C27" i="14"/>
  <c r="E27" i="14" s="1"/>
  <c r="F46" i="7"/>
  <c r="F48" i="7" s="1"/>
  <c r="F50" i="7" s="1"/>
  <c r="F12" i="18"/>
  <c r="F31" i="4"/>
  <c r="F35" i="4" s="1"/>
  <c r="J24" i="4"/>
  <c r="J3" i="15"/>
  <c r="K3" i="15"/>
  <c r="F41" i="7" l="1"/>
  <c r="F42" i="7" s="1"/>
  <c r="F34" i="7"/>
  <c r="E28" i="18"/>
  <c r="E29" i="18" s="1"/>
  <c r="F23" i="18"/>
  <c r="F13" i="18"/>
  <c r="E7" i="20"/>
  <c r="F18" i="7"/>
  <c r="E25" i="7"/>
  <c r="E14" i="7"/>
  <c r="E15" i="7" s="1"/>
  <c r="E7" i="13"/>
  <c r="E9" i="13" s="1"/>
  <c r="E11" i="13" s="1"/>
  <c r="E13" i="13" s="1"/>
  <c r="E14" i="13" s="1"/>
  <c r="F36" i="4" s="1"/>
  <c r="F14" i="18" s="1"/>
  <c r="C28" i="14"/>
  <c r="E28" i="14" s="1"/>
  <c r="J31" i="4"/>
  <c r="J49" i="7"/>
  <c r="K24" i="4"/>
  <c r="F24" i="18" l="1"/>
  <c r="E28" i="7"/>
  <c r="E30" i="7" s="1"/>
  <c r="I7" i="20"/>
  <c r="F15" i="18"/>
  <c r="C29" i="14"/>
  <c r="E29" i="14" s="1"/>
  <c r="F37" i="4"/>
  <c r="F38" i="4" s="1"/>
  <c r="I7" i="13"/>
  <c r="I9" i="13" s="1"/>
  <c r="I11" i="13" s="1"/>
  <c r="I13" i="13" s="1"/>
  <c r="I14" i="13" s="1"/>
  <c r="J36" i="4" s="1"/>
  <c r="J14" i="18" s="1"/>
  <c r="K31" i="4"/>
  <c r="K49" i="7"/>
  <c r="E8" i="20" l="1"/>
  <c r="F16" i="18"/>
  <c r="F25" i="18" s="1"/>
  <c r="J7" i="20"/>
  <c r="G27" i="4"/>
  <c r="G29" i="4" s="1"/>
  <c r="G22" i="7"/>
  <c r="C30" i="14"/>
  <c r="E30" i="14" s="1"/>
  <c r="J37" i="4"/>
  <c r="J38" i="4" s="1"/>
  <c r="J7" i="13"/>
  <c r="J9" i="13" s="1"/>
  <c r="J11" i="13" s="1"/>
  <c r="J13" i="13" s="1"/>
  <c r="J14" i="13" s="1"/>
  <c r="K36" i="4" s="1"/>
  <c r="G41" i="7" l="1"/>
  <c r="G34" i="7"/>
  <c r="J39" i="4"/>
  <c r="J19" i="7" s="1"/>
  <c r="I8" i="20"/>
  <c r="F17" i="18"/>
  <c r="F19" i="18" s="1"/>
  <c r="F14" i="7" s="1"/>
  <c r="F39" i="4"/>
  <c r="F19" i="7" s="1"/>
  <c r="F21" i="7" s="1"/>
  <c r="F25" i="7" s="1"/>
  <c r="G12" i="18"/>
  <c r="G46" i="7"/>
  <c r="G48" i="7" s="1"/>
  <c r="G50" i="7" s="1"/>
  <c r="G31" i="4"/>
  <c r="G35" i="4" s="1"/>
  <c r="G42" i="7"/>
  <c r="C31" i="14"/>
  <c r="E31" i="14" s="1"/>
  <c r="K37" i="4"/>
  <c r="K38" i="4" s="1"/>
  <c r="K14" i="18"/>
  <c r="J16" i="18" l="1"/>
  <c r="F26" i="18"/>
  <c r="F28" i="18"/>
  <c r="F29" i="18" s="1"/>
  <c r="F7" i="20"/>
  <c r="K39" i="4"/>
  <c r="K19" i="7" s="1"/>
  <c r="J8" i="20"/>
  <c r="G4" i="18"/>
  <c r="F35" i="7"/>
  <c r="F36" i="7" s="1"/>
  <c r="G18" i="7"/>
  <c r="F15" i="7"/>
  <c r="F28" i="7"/>
  <c r="F30" i="7" s="1"/>
  <c r="F7" i="13"/>
  <c r="F9" i="13" s="1"/>
  <c r="F11" i="13" s="1"/>
  <c r="F13" i="13" s="1"/>
  <c r="F14" i="13" s="1"/>
  <c r="G36" i="4" s="1"/>
  <c r="G14" i="18" s="1"/>
  <c r="C32" i="14"/>
  <c r="J25" i="18" l="1"/>
  <c r="J26" i="18" s="1"/>
  <c r="E32" i="14"/>
  <c r="C33" i="14"/>
  <c r="C34" i="14" s="1"/>
  <c r="C35" i="14" s="1"/>
  <c r="C36" i="14" s="1"/>
  <c r="G23" i="18"/>
  <c r="G13" i="18"/>
  <c r="G15" i="18" s="1"/>
  <c r="K16" i="18"/>
  <c r="G37" i="4"/>
  <c r="G38" i="4" s="1"/>
  <c r="K25" i="18" l="1"/>
  <c r="K26" i="18" s="1"/>
  <c r="F8" i="20"/>
  <c r="G16" i="18"/>
  <c r="G25" i="18" s="1"/>
  <c r="G24" i="18"/>
  <c r="E33" i="14"/>
  <c r="H27" i="4" s="1"/>
  <c r="H29" i="4" s="1"/>
  <c r="H22" i="7"/>
  <c r="E34" i="14"/>
  <c r="H41" i="7" l="1"/>
  <c r="H34" i="7"/>
  <c r="G17" i="18"/>
  <c r="G19" i="18" s="1"/>
  <c r="G14" i="7" s="1"/>
  <c r="G39" i="4"/>
  <c r="G19" i="7" s="1"/>
  <c r="G21" i="7" s="1"/>
  <c r="G25" i="7" s="1"/>
  <c r="H46" i="7"/>
  <c r="H48" i="7" s="1"/>
  <c r="H50" i="7" s="1"/>
  <c r="H31" i="4"/>
  <c r="H35" i="4" s="1"/>
  <c r="H12" i="18"/>
  <c r="E35" i="14"/>
  <c r="H42" i="7"/>
  <c r="F43" i="7" s="1"/>
  <c r="G26" i="18" l="1"/>
  <c r="G28" i="18"/>
  <c r="G29" i="18" s="1"/>
  <c r="G7" i="20"/>
  <c r="H4" i="18"/>
  <c r="G35" i="7"/>
  <c r="G36" i="7" s="1"/>
  <c r="H18" i="7"/>
  <c r="E36" i="14"/>
  <c r="G28" i="7"/>
  <c r="G30" i="7" s="1"/>
  <c r="G15" i="7"/>
  <c r="G7" i="13"/>
  <c r="G9" i="13" s="1"/>
  <c r="G11" i="13" s="1"/>
  <c r="G13" i="13" s="1"/>
  <c r="G14" i="13" s="1"/>
  <c r="H36" i="4" s="1"/>
  <c r="H14" i="18" s="1"/>
  <c r="H23" i="18" l="1"/>
  <c r="H13" i="18"/>
  <c r="H15" i="18" s="1"/>
  <c r="H37" i="4"/>
  <c r="H38" i="4" s="1"/>
  <c r="E37" i="14"/>
  <c r="G8" i="20" l="1"/>
  <c r="H16" i="18"/>
  <c r="H25" i="18" s="1"/>
  <c r="H24" i="18"/>
  <c r="I27" i="4"/>
  <c r="I29" i="4" s="1"/>
  <c r="H17" i="18" l="1"/>
  <c r="H19" i="18" s="1"/>
  <c r="I4" i="18" s="1"/>
  <c r="H39" i="4"/>
  <c r="H19" i="7" s="1"/>
  <c r="H21" i="7" s="1"/>
  <c r="H35" i="7" s="1"/>
  <c r="H36" i="7" s="1"/>
  <c r="I31" i="4"/>
  <c r="I12" i="18"/>
  <c r="I46" i="7"/>
  <c r="I48" i="7" s="1"/>
  <c r="I50" i="7" s="1"/>
  <c r="H26" i="18" l="1"/>
  <c r="H28" i="18"/>
  <c r="H29" i="18" s="1"/>
  <c r="I23" i="18"/>
  <c r="I13" i="18"/>
  <c r="H7" i="20"/>
  <c r="H14" i="7"/>
  <c r="H15" i="7" s="1"/>
  <c r="H25" i="7"/>
  <c r="I18" i="7"/>
  <c r="H7" i="13"/>
  <c r="H9" i="13" s="1"/>
  <c r="H11" i="13" s="1"/>
  <c r="H13" i="13" s="1"/>
  <c r="H14" i="13" s="1"/>
  <c r="I36" i="4" s="1"/>
  <c r="I14" i="18" s="1"/>
  <c r="I24" i="18" l="1"/>
  <c r="H28" i="7"/>
  <c r="H30" i="7" s="1"/>
  <c r="I15" i="18"/>
  <c r="I37" i="4"/>
  <c r="I38" i="4" s="1"/>
  <c r="H8" i="20" l="1"/>
  <c r="I16" i="18"/>
  <c r="I25" i="18" s="1"/>
  <c r="I17" i="18" l="1"/>
  <c r="I19" i="18" s="1"/>
  <c r="I14" i="7" s="1"/>
  <c r="I39" i="4"/>
  <c r="I19" i="7" s="1"/>
  <c r="I21" i="7" s="1"/>
  <c r="I25" i="7" s="1"/>
  <c r="I26" i="18" l="1"/>
  <c r="I28" i="18"/>
  <c r="I29" i="18" s="1"/>
  <c r="J4" i="18"/>
  <c r="I35" i="7"/>
  <c r="I36" i="7" s="1"/>
  <c r="J18" i="7"/>
  <c r="J21" i="7" s="1"/>
  <c r="K18" i="7" s="1"/>
  <c r="K21" i="7" s="1"/>
  <c r="I15" i="7"/>
  <c r="I28" i="7"/>
  <c r="I30" i="7" s="1"/>
  <c r="J13" i="18" l="1"/>
  <c r="J15" i="18" s="1"/>
  <c r="J17" i="18" s="1"/>
  <c r="J19" i="18" s="1"/>
  <c r="J23" i="18"/>
  <c r="J28" i="18" s="1"/>
  <c r="J29" i="18" s="1"/>
  <c r="J25" i="7"/>
  <c r="J35" i="7"/>
  <c r="J36" i="7" s="1"/>
  <c r="K35" i="7"/>
  <c r="K36" i="7" s="1"/>
  <c r="K25" i="7"/>
  <c r="K4" i="18" l="1"/>
  <c r="J14" i="7"/>
  <c r="J28" i="7" s="1"/>
  <c r="J30" i="7" s="1"/>
  <c r="F37" i="7"/>
  <c r="J24" i="18"/>
  <c r="J15" i="7" l="1"/>
  <c r="K13" i="18"/>
  <c r="K15" i="18" s="1"/>
  <c r="K17" i="18" s="1"/>
  <c r="K19" i="18" s="1"/>
  <c r="K14" i="7" s="1"/>
  <c r="K23" i="18"/>
  <c r="K28" i="18" s="1"/>
  <c r="K29" i="18" s="1"/>
  <c r="K24" i="18" l="1"/>
  <c r="L29" i="18" s="1"/>
  <c r="K15" i="7"/>
  <c r="K28" i="7"/>
  <c r="K30" i="7" s="1"/>
  <c r="F31" i="7" s="1"/>
</calcChain>
</file>

<file path=xl/sharedStrings.xml><?xml version="1.0" encoding="utf-8"?>
<sst xmlns="http://schemas.openxmlformats.org/spreadsheetml/2006/main" count="428" uniqueCount="307">
  <si>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</si>
  <si>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</si>
  <si>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</si>
  <si>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</si>
  <si>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</si>
  <si>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</si>
  <si>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</si>
  <si>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</si>
  <si>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</si>
  <si>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</si>
  <si>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</si>
  <si>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</si>
  <si>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</si>
  <si>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</si>
  <si>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</si>
  <si>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</si>
  <si>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</si>
  <si>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</si>
  <si>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</si>
  <si>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</si>
  <si>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</si>
  <si>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</si>
  <si>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</si>
  <si>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</si>
  <si>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</si>
  <si>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</si>
  <si>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</si>
  <si>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</si>
  <si>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</si>
  <si>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</si>
  <si>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</si>
  <si>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</si>
  <si>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</si>
  <si>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</si>
  <si>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</si>
  <si>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</si>
  <si>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</si>
  <si>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</si>
  <si>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</si>
  <si>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</si>
  <si>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</si>
  <si>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</si>
  <si>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</si>
  <si>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</si>
  <si>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</si>
  <si>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</si>
  <si>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</si>
  <si>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</si>
  <si>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</si>
  <si>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</si>
  <si>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</si>
  <si>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</si>
  <si>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</si>
  <si>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</si>
  <si>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</si>
  <si>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</si>
  <si>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</si>
  <si>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</si>
  <si>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</si>
  <si>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</si>
  <si>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</si>
  <si>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</si>
  <si>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</si>
  <si>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</si>
  <si>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</si>
  <si>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</si>
  <si>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</si>
  <si>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</si>
  <si>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</si>
  <si>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</si>
  <si>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</si>
  <si>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</si>
  <si>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</si>
  <si>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</si>
  <si>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</si>
  <si>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Selling cost</t>
  </si>
  <si>
    <t>- Interest on Working capital</t>
  </si>
  <si>
    <t>Contribution</t>
  </si>
  <si>
    <t>Less: fixed cost</t>
  </si>
  <si>
    <t>Wages and salaries</t>
  </si>
  <si>
    <t>- electricity expense</t>
  </si>
  <si>
    <t>Depreciation</t>
  </si>
  <si>
    <t>Fixed cost</t>
  </si>
  <si>
    <t>Electricity charges</t>
  </si>
  <si>
    <t>selling expenses</t>
  </si>
  <si>
    <t>Interest on Working capital</t>
  </si>
  <si>
    <t>Running and maintenance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</si>
  <si>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</si>
  <si>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</si>
  <si>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</si>
  <si>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</si>
  <si>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</si>
  <si>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</si>
  <si>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</si>
  <si>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</si>
  <si>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</si>
  <si>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</si>
  <si>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</si>
  <si>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</si>
  <si>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</si>
  <si>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</si>
  <si>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</si>
  <si>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</si>
  <si>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</si>
  <si>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</si>
  <si>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</si>
  <si>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</si>
  <si>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</si>
  <si>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</si>
  <si>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</si>
  <si>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</si>
  <si>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</si>
  <si>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</si>
  <si>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</si>
  <si>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</si>
  <si>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</si>
  <si>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</si>
  <si>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</si>
  <si>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</si>
  <si>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</si>
  <si>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</si>
  <si>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</si>
  <si>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</si>
  <si>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</si>
  <si>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</si>
  <si>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</si>
  <si>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</si>
  <si>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</si>
  <si>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</si>
  <si>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</si>
  <si>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</si>
  <si>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</si>
  <si>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</si>
  <si>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</si>
  <si>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</si>
  <si>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</si>
  <si>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</si>
  <si>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</si>
  <si>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</si>
  <si>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</si>
  <si>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</si>
  <si>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</si>
  <si>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</si>
  <si>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</si>
  <si>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</si>
  <si>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</si>
  <si>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</si>
  <si>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</si>
  <si>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</si>
  <si>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</si>
  <si>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</si>
  <si>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</si>
  <si>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</si>
  <si>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</si>
  <si>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</si>
  <si>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</si>
  <si>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</si>
  <si>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</si>
  <si>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</si>
  <si>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</si>
  <si>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</si>
  <si>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</si>
  <si>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</si>
  <si>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</si>
  <si>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</si>
  <si>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</si>
  <si>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</si>
  <si>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</si>
  <si>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</si>
  <si>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</si>
  <si>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</si>
  <si>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</si>
  <si>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</si>
  <si>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</si>
  <si>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</si>
  <si>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</si>
  <si>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</si>
  <si>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Production capacity utilization</t>
  </si>
  <si>
    <t>Sales qty</t>
  </si>
  <si>
    <t>Production budget</t>
  </si>
  <si>
    <t>Production capacity</t>
  </si>
  <si>
    <t>Production qty in a year</t>
  </si>
  <si>
    <t>kgs</t>
  </si>
  <si>
    <t>Products</t>
  </si>
  <si>
    <t>Production at 100% capacity</t>
  </si>
  <si>
    <t>sales prices per kg in year I</t>
  </si>
  <si>
    <t>purchase prices per kg in year I</t>
  </si>
  <si>
    <t>Opening Stock</t>
  </si>
  <si>
    <t>Add: Production</t>
  </si>
  <si>
    <t>Less: Sales</t>
  </si>
  <si>
    <t>Closing Stock</t>
  </si>
  <si>
    <t>Assumptions:</t>
  </si>
  <si>
    <t>Output</t>
  </si>
  <si>
    <t>Production qty</t>
  </si>
  <si>
    <t>Purchase of raw material input</t>
  </si>
  <si>
    <t>Electricity expense</t>
  </si>
  <si>
    <t>Usage in units</t>
  </si>
  <si>
    <t>Cost of Production</t>
  </si>
  <si>
    <t>Add: Opening stock</t>
  </si>
  <si>
    <t>Less: Closing stock</t>
  </si>
  <si>
    <t>- Procurement cost of inputs</t>
  </si>
  <si>
    <t>Sub Total</t>
  </si>
  <si>
    <t>Output stock calculation</t>
  </si>
  <si>
    <t>Total depreciation for the year</t>
  </si>
  <si>
    <t>Machine operators</t>
  </si>
  <si>
    <t>Preliminary Expense</t>
  </si>
  <si>
    <t>Cash flow statement</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</si>
  <si>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</si>
  <si>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</si>
  <si>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</si>
  <si>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</si>
  <si>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</si>
  <si>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</si>
  <si>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</si>
  <si>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Ouput available for sale</t>
  </si>
  <si>
    <t>2. assumed that 99% of production is sold for first 5 years, thereafter demand is almost 101% of output but we are able to serve market according to the availablility of output</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</si>
  <si>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</si>
  <si>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</si>
  <si>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</si>
  <si>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</si>
  <si>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</si>
  <si>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</si>
  <si>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</si>
  <si>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</si>
  <si>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</si>
  <si>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</si>
  <si>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</si>
  <si>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</si>
  <si>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</si>
  <si>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</si>
  <si>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Contribution per kg</t>
  </si>
  <si>
    <t>Rs. per kg</t>
  </si>
  <si>
    <t>BEP in kgs</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</si>
  <si>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</si>
  <si>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</si>
  <si>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</si>
  <si>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</si>
  <si>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</si>
  <si>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</si>
  <si>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</si>
  <si>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</si>
  <si>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</si>
  <si>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</si>
  <si>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</si>
  <si>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</si>
  <si>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</si>
  <si>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</si>
  <si>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</si>
  <si>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</si>
  <si>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</si>
  <si>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</si>
  <si>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</si>
  <si>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</si>
  <si>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</si>
  <si>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Assumed that 30 days of sales are average debtors maintained by the business</t>
  </si>
  <si>
    <t>Electricity usage in units is given below</t>
  </si>
  <si>
    <t>Cash flows'!A1</t>
  </si>
  <si>
    <t>iv.</t>
  </si>
  <si>
    <t>Labour/ helper</t>
  </si>
  <si>
    <t>Annual cost</t>
  </si>
  <si>
    <t>1. asssumed that 60 days of purchases are average creditors maintained</t>
  </si>
  <si>
    <t>Asssumed that 60 days of purchases are average creditors maintained</t>
  </si>
  <si>
    <t>1. Building</t>
  </si>
  <si>
    <t>Building as per estimate</t>
  </si>
  <si>
    <t>Plant &amp; Machinery</t>
  </si>
  <si>
    <t>Storage Tank for Oil</t>
  </si>
  <si>
    <t>Plant &amp; Machinery - Generator</t>
  </si>
  <si>
    <t>Machinery Installation Charges</t>
  </si>
  <si>
    <t>P &amp; M - Tractor</t>
  </si>
  <si>
    <t xml:space="preserve"> 8 P &amp; M - Transformer</t>
  </si>
  <si>
    <t>P &amp; M - Machine Fitting Equipment’s</t>
  </si>
  <si>
    <t>P &amp; M - Motors and Electrical cable</t>
  </si>
  <si>
    <t>P &amp; M - Tata Yodha Pickup BS-VI</t>
  </si>
  <si>
    <t>Electric connection charges</t>
  </si>
  <si>
    <t>kg per day</t>
  </si>
  <si>
    <t>Production days in a year</t>
  </si>
  <si>
    <t>days</t>
  </si>
  <si>
    <t>Running and Manintenance expense @1.5% of procurement cost</t>
  </si>
  <si>
    <t>Ann 3'!A1</t>
  </si>
  <si>
    <t>Miscellaneous expense - semi fixed</t>
  </si>
  <si>
    <t>Distribution of profits (80%)</t>
  </si>
  <si>
    <t>Add: benefits @ 20%</t>
  </si>
  <si>
    <t>Selling expenses @ Rs. 2 per kg</t>
  </si>
  <si>
    <t>input output ratio is 50%, i.e., 1 kg of rapeseed would produce 0.5 kg/ litre of oil</t>
  </si>
  <si>
    <t>Packaging cost</t>
  </si>
  <si>
    <t>Miscellaneous expense</t>
  </si>
  <si>
    <t>Procurement cost of rapeseed</t>
  </si>
  <si>
    <t>1. Sales price per kg of output is 127, expected to increase 7% per annum</t>
  </si>
  <si>
    <t>Electricity are semi-fixed cost. Rs. 1,60,000 pa is fixed, balance is variable at Rs. 12 per unit usage</t>
  </si>
  <si>
    <t>It is assumed that input output ratio of mustard oil production is 50%, i.e., to produce output of 1 litre of oil- 2 kg of rapeseed is required to be processed</t>
  </si>
  <si>
    <t>The selling expense per kg is takes to be variable @ Rs. 2 per kg of output sold</t>
  </si>
  <si>
    <t>Packing expense is variable at Rs 2 per kg</t>
  </si>
  <si>
    <t>There are some miscellaneous expenses assumed for managing office and employees expense. This is semi fixed cost, fixed to the extent of Rs 10 lakhs per annum and variable @ 1% of sales. The fixed expense would increase after 5 years by 20%</t>
  </si>
  <si>
    <t>Closing stock is valued at Rs. 120 per kg</t>
  </si>
  <si>
    <t>Packaging cost @ Rs. 2 per kg</t>
  </si>
  <si>
    <t>Break-even point is the condition when an entity generate sufficient revenue that it can meet its fixed expense after deducting any variable expense, i.e., the point where contribution is equal to the fixed expense.</t>
  </si>
  <si>
    <t>1. Electricity are semi-fixed cost. Rs. 1,60,000 pa is fixed, balance is variable at Rs. 12 per unit usage</t>
  </si>
  <si>
    <t>2. Electricity usage in units is given below</t>
  </si>
  <si>
    <t>3. Closing stock is valued at Rs. 120 per kg</t>
  </si>
  <si>
    <t>For the first year of operation the break-even capacity comes at 50.16%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</si>
  <si>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Amount of subsidy (in lakhs)</t>
  </si>
  <si>
    <t>In case of Capital subsidy, the amount vary depending on location of unit and scheme offered by the government at that time. Thus it is assumed here that 25% of loan (maximum Rs. 12.5 lakhs)is sourced through back end subsidy.</t>
  </si>
  <si>
    <t>The amount Rs. 12.5 lakhs is sourced by Government subsidy. Since this is a back end subsidy, the amount is funded to bank at the end of repayment schedule.</t>
  </si>
  <si>
    <t xml:space="preserve">Subsidy is available maximum 25% upto Rs. 12.5 lakhs under Agriculture Marketing Infrastructure Scheme </t>
  </si>
  <si>
    <t>Repaid via subsidy</t>
  </si>
  <si>
    <t>Other income - Subsidy for repayment of loan</t>
  </si>
  <si>
    <t>DPR with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</si>
</sst>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0_);_(* \(#,##0.0000\);_(* &quot;-&quot;??_);_(@_)"/>
    <numFmt numFmtId="169" formatCode="_(* #,##0.0000000_);_(* \(#,##0.0000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17">
    <xf numFmtId="0" fontId="0" fillId="0" borderId="0" xfId="0"/>
    <xf numFmtId="0" fontId="0" fillId="0" borderId="0" xfId="0" applyAlignment="1">
      <alignment horizontal="left"/>
    </xf>
    <xf numFmtId="2" fontId="0" fillId="0" borderId="0" xfId="0" applyNumberFormat="1"/>
    <xf numFmtId="0" fontId="3" fillId="0" borderId="0" xfId="0" applyFont="1"/>
    <xf numFmtId="0" fontId="0" fillId="0" borderId="3" xfId="0" applyBorder="1"/>
    <xf numFmtId="0" fontId="0" fillId="0" borderId="0" xfId="0" applyBorder="1"/>
    <xf numFmtId="0" fontId="0" fillId="0" borderId="9" xfId="0" applyBorder="1"/>
    <xf numFmtId="0" fontId="0" fillId="0" borderId="11" xfId="0" applyBorder="1" applyAlignment="1">
      <alignment horizontal="left"/>
    </xf>
    <xf numFmtId="0" fontId="0" fillId="0" borderId="12" xfId="0" applyBorder="1" applyAlignment="1">
      <alignment horizontal="left"/>
    </xf>
    <xf numFmtId="0" fontId="0" fillId="0" borderId="11" xfId="0" applyBorder="1"/>
    <xf numFmtId="0" fontId="0" fillId="0" borderId="11" xfId="0" applyBorder="1" applyAlignment="1">
      <alignment wrapText="1"/>
    </xf>
    <xf numFmtId="0" fontId="0" fillId="0" borderId="12" xfId="0" applyBorder="1"/>
    <xf numFmtId="0" fontId="0" fillId="0" borderId="1" xfId="0" applyBorder="1"/>
    <xf numFmtId="0" fontId="0" fillId="0" borderId="2" xfId="0" applyBorder="1"/>
    <xf numFmtId="0" fontId="0" fillId="0" borderId="8" xfId="0" applyBorder="1"/>
    <xf numFmtId="164" fontId="0" fillId="0" borderId="0" xfId="1" applyNumberFormat="1" applyFont="1"/>
    <xf numFmtId="164" fontId="0" fillId="0" borderId="0" xfId="0" applyNumberFormat="1"/>
    <xf numFmtId="164" fontId="0" fillId="0" borderId="0" xfId="1" applyNumberFormat="1" applyFont="1" applyBorder="1"/>
    <xf numFmtId="164" fontId="0" fillId="0" borderId="9" xfId="1" applyNumberFormat="1" applyFont="1" applyBorder="1"/>
    <xf numFmtId="0" fontId="2" fillId="0" borderId="2" xfId="0" applyFont="1" applyBorder="1"/>
    <xf numFmtId="0" fontId="2" fillId="0" borderId="3" xfId="0" applyFont="1" applyBorder="1"/>
    <xf numFmtId="164" fontId="2" fillId="0" borderId="4" xfId="0" applyNumberFormat="1" applyFont="1" applyBorder="1"/>
    <xf numFmtId="0" fontId="2" fillId="0" borderId="0" xfId="0" applyFont="1"/>
    <xf numFmtId="0" fontId="0" fillId="0" borderId="0" xfId="0" quotePrefix="1"/>
    <xf numFmtId="43" fontId="0" fillId="0" borderId="0" xfId="0" applyNumberFormat="1"/>
    <xf numFmtId="9" fontId="0" fillId="0" borderId="0" xfId="0" applyNumberFormat="1"/>
    <xf numFmtId="43" fontId="0" fillId="0" borderId="9" xfId="1" applyNumberFormat="1" applyFont="1" applyBorder="1"/>
    <xf numFmtId="43" fontId="0" fillId="0" borderId="9" xfId="0" applyNumberFormat="1" applyBorder="1"/>
    <xf numFmtId="43" fontId="0" fillId="0" borderId="10" xfId="0" applyNumberFormat="1" applyBorder="1"/>
    <xf numFmtId="0" fontId="0" fillId="0" borderId="0" xfId="0" applyAlignment="1">
      <alignment horizontal="right"/>
    </xf>
    <xf numFmtId="164" fontId="0" fillId="0" borderId="1" xfId="1" applyNumberFormat="1" applyFont="1" applyBorder="1"/>
    <xf numFmtId="0" fontId="3" fillId="2" borderId="2" xfId="0" applyFont="1" applyFill="1" applyBorder="1"/>
    <xf numFmtId="0" fontId="0" fillId="2" borderId="3" xfId="0" applyFill="1" applyBorder="1"/>
    <xf numFmtId="0" fontId="0" fillId="2" borderId="4" xfId="0" applyFill="1" applyBorder="1"/>
    <xf numFmtId="0" fontId="0" fillId="2" borderId="1" xfId="0" applyFill="1" applyBorder="1"/>
    <xf numFmtId="0" fontId="0" fillId="2" borderId="1" xfId="0" applyFill="1" applyBorder="1" applyAlignment="1">
      <alignment wrapText="1"/>
    </xf>
    <xf numFmtId="0" fontId="0" fillId="2" borderId="2" xfId="0" applyFill="1" applyBorder="1"/>
    <xf numFmtId="43" fontId="0" fillId="0" borderId="4" xfId="0" applyNumberFormat="1" applyBorder="1"/>
    <xf numFmtId="0" fontId="0" fillId="2" borderId="6" xfId="0" applyFill="1" applyBorder="1"/>
    <xf numFmtId="0" fontId="0" fillId="0" borderId="0" xfId="0" applyBorder="1" applyAlignment="1">
      <alignment horizontal="left"/>
    </xf>
    <xf numFmtId="164" fontId="0" fillId="0" borderId="1" xfId="0" applyNumberFormat="1" applyBorder="1"/>
    <xf numFmtId="0" fontId="0" fillId="0" borderId="1" xfId="0" applyFill="1" applyBorder="1"/>
    <xf numFmtId="10" fontId="0" fillId="0" borderId="0" xfId="2" applyNumberFormat="1" applyFont="1"/>
    <xf numFmtId="0" fontId="0" fillId="0" borderId="5" xfId="0" applyBorder="1"/>
    <xf numFmtId="0" fontId="2" fillId="0" borderId="6" xfId="0" applyFont="1" applyBorder="1"/>
    <xf numFmtId="0" fontId="0" fillId="0" borderId="6" xfId="0" applyBorder="1"/>
    <xf numFmtId="0" fontId="0" fillId="0" borderId="7" xfId="0" applyBorder="1"/>
    <xf numFmtId="164" fontId="0" fillId="0" borderId="9" xfId="0" applyNumberFormat="1" applyBorder="1"/>
    <xf numFmtId="0" fontId="2" fillId="0" borderId="0" xfId="0" applyFont="1" applyBorder="1"/>
    <xf numFmtId="0" fontId="0" fillId="0" borderId="13" xfId="0" applyBorder="1"/>
    <xf numFmtId="0" fontId="0" fillId="0" borderId="14" xfId="0" applyBorder="1"/>
    <xf numFmtId="0" fontId="0" fillId="0" borderId="10" xfId="0" applyBorder="1"/>
    <xf numFmtId="164" fontId="0" fillId="0" borderId="10" xfId="0" applyNumberFormat="1" applyBorder="1"/>
    <xf numFmtId="164" fontId="0" fillId="0" borderId="4" xfId="0" applyNumberFormat="1" applyBorder="1"/>
    <xf numFmtId="43" fontId="0" fillId="0" borderId="1" xfId="1" applyFont="1" applyBorder="1"/>
    <xf numFmtId="0" fontId="0" fillId="0" borderId="15" xfId="0" applyBorder="1"/>
    <xf numFmtId="164" fontId="0" fillId="0" borderId="11" xfId="0" applyNumberFormat="1" applyBorder="1"/>
    <xf numFmtId="164" fontId="0" fillId="0" borderId="11" xfId="1" applyNumberFormat="1" applyFont="1" applyBorder="1"/>
    <xf numFmtId="43" fontId="0" fillId="0" borderId="11" xfId="0" applyNumberFormat="1" applyBorder="1"/>
    <xf numFmtId="0" fontId="0" fillId="0" borderId="0" xfId="0" applyFill="1" applyBorder="1"/>
    <xf numFmtId="0" fontId="0" fillId="2" borderId="8" xfId="0" applyFill="1" applyBorder="1"/>
    <xf numFmtId="0" fontId="0" fillId="2" borderId="0" xfId="0" applyFill="1" applyBorder="1"/>
    <xf numFmtId="0" fontId="0" fillId="2" borderId="11" xfId="0" applyFill="1" applyBorder="1"/>
    <xf numFmtId="0" fontId="0" fillId="2" borderId="9" xfId="0" applyFill="1" applyBorder="1"/>
    <xf numFmtId="164" fontId="0" fillId="2" borderId="9" xfId="0" applyNumberFormat="1" applyFill="1" applyBorder="1"/>
    <xf numFmtId="2" fontId="0" fillId="0" borderId="1" xfId="0" applyNumberFormat="1" applyBorder="1"/>
    <xf numFmtId="43" fontId="0" fillId="0" borderId="9" xfId="1" applyFont="1" applyBorder="1"/>
    <xf numFmtId="164" fontId="0" fillId="0" borderId="8" xfId="0" applyNumberFormat="1" applyFill="1" applyBorder="1"/>
    <xf numFmtId="0" fontId="4" fillId="0" borderId="0" xfId="0" applyFont="1"/>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xf>
    <xf numFmtId="0" fontId="0" fillId="0" borderId="0" xfId="0" applyBorder="1" applyAlignment="1">
      <alignment vertical="top" wrapText="1"/>
    </xf>
    <xf numFmtId="9" fontId="0" fillId="0" borderId="1" xfId="0" applyNumberFormat="1" applyBorder="1"/>
    <xf numFmtId="1" fontId="0" fillId="0" borderId="1" xfId="0" applyNumberFormat="1" applyBorder="1"/>
    <xf numFmtId="164" fontId="0" fillId="0" borderId="1" xfId="0" applyNumberFormat="1" applyBorder="1" applyAlignment="1">
      <alignment vertical="top"/>
    </xf>
    <xf numFmtId="165" fontId="0" fillId="0" borderId="1" xfId="0" applyNumberFormat="1" applyBorder="1" applyAlignment="1">
      <alignment vertical="top" wrapText="1"/>
    </xf>
    <xf numFmtId="0" fontId="0" fillId="0" borderId="1" xfId="0" applyBorder="1" applyAlignment="1">
      <alignment horizontal="left"/>
    </xf>
    <xf numFmtId="0" fontId="0" fillId="2" borderId="4" xfId="0" applyFont="1" applyFill="1" applyBorder="1"/>
    <xf numFmtId="167" fontId="0" fillId="0" borderId="0" xfId="0" applyNumberFormat="1"/>
    <xf numFmtId="0" fontId="0" fillId="0" borderId="1" xfId="0" applyBorder="1" applyAlignment="1">
      <alignment horizontal="right"/>
    </xf>
    <xf numFmtId="43" fontId="0" fillId="0" borderId="1" xfId="0" applyNumberFormat="1" applyBorder="1"/>
    <xf numFmtId="2" fontId="0" fillId="0" borderId="0" xfId="2" applyNumberFormat="1" applyFont="1"/>
    <xf numFmtId="0" fontId="5" fillId="0" borderId="0" xfId="0" applyFont="1"/>
    <xf numFmtId="0" fontId="4" fillId="2" borderId="1" xfId="0" applyFont="1" applyFill="1" applyBorder="1"/>
    <xf numFmtId="0" fontId="4" fillId="0" borderId="1" xfId="0" applyFont="1" applyBorder="1"/>
    <xf numFmtId="164" fontId="4" fillId="0" borderId="1" xfId="1" applyNumberFormat="1" applyFont="1" applyBorder="1"/>
    <xf numFmtId="164" fontId="4" fillId="0" borderId="0" xfId="0" applyNumberFormat="1" applyFont="1"/>
    <xf numFmtId="0" fontId="2" fillId="0" borderId="1" xfId="0" applyFont="1" applyBorder="1"/>
    <xf numFmtId="0" fontId="6" fillId="0" borderId="1" xfId="3" quotePrefix="1" applyBorder="1"/>
    <xf numFmtId="0" fontId="6" fillId="0" borderId="1" xfId="3" applyBorder="1"/>
    <xf numFmtId="168" fontId="0" fillId="0" borderId="0" xfId="0" applyNumberFormat="1"/>
    <xf numFmtId="0" fontId="0" fillId="0" borderId="6" xfId="0" applyBorder="1" applyAlignment="1">
      <alignment horizontal="left"/>
    </xf>
    <xf numFmtId="164" fontId="0" fillId="0" borderId="6" xfId="1" applyNumberFormat="1" applyFont="1" applyBorder="1"/>
    <xf numFmtId="164" fontId="0" fillId="0" borderId="7" xfId="1" applyNumberFormat="1" applyFont="1" applyBorder="1" applyAlignment="1">
      <alignment horizontal="left"/>
    </xf>
    <xf numFmtId="164" fontId="0" fillId="0" borderId="9" xfId="1" applyNumberFormat="1" applyFont="1" applyBorder="1" applyAlignment="1">
      <alignment horizontal="left"/>
    </xf>
    <xf numFmtId="0" fontId="0" fillId="0" borderId="14" xfId="0" applyBorder="1" applyAlignment="1">
      <alignment horizontal="left"/>
    </xf>
    <xf numFmtId="164" fontId="0" fillId="0" borderId="14" xfId="1" applyNumberFormat="1" applyFont="1" applyBorder="1"/>
    <xf numFmtId="164" fontId="0" fillId="0" borderId="10" xfId="1" applyNumberFormat="1" applyFont="1" applyBorder="1" applyAlignment="1">
      <alignment horizontal="left"/>
    </xf>
    <xf numFmtId="0" fontId="0" fillId="0" borderId="4" xfId="0" applyBorder="1"/>
    <xf numFmtId="0" fontId="0" fillId="0" borderId="0" xfId="0" applyAlignment="1">
      <alignment wrapText="1"/>
    </xf>
    <xf numFmtId="0" fontId="0" fillId="0" borderId="0" xfId="0" applyAlignment="1">
      <alignment horizontal="center"/>
    </xf>
    <xf numFmtId="169" fontId="0" fillId="0" borderId="9" xfId="0" applyNumberFormat="1" applyBorder="1"/>
    <xf numFmtId="169" fontId="0" fillId="0" borderId="9" xfId="1" applyNumberFormat="1" applyFont="1" applyBorder="1"/>
    <xf numFmtId="10" fontId="0" fillId="3" borderId="0" xfId="0" applyNumberFormat="1" applyFill="1"/>
    <xf numFmtId="0" fontId="0" fillId="3" borderId="0" xfId="0" applyFill="1" applyAlignment="1">
      <alignment horizontal="right"/>
    </xf>
    <xf numFmtId="0" fontId="0" fillId="0" borderId="1" xfId="0" applyBorder="1" applyAlignment="1">
      <alignment horizontal="center"/>
    </xf>
    <xf numFmtId="164" fontId="7" fillId="0" borderId="0" xfId="1" applyNumberFormat="1" applyFont="1"/>
    <xf numFmtId="10" fontId="7" fillId="0" borderId="0" xfId="1" applyNumberFormat="1" applyFont="1"/>
    <xf numFmtId="0" fontId="7" fillId="0" borderId="0" xfId="0" applyFont="1"/>
    <xf numFmtId="166" fontId="7" fillId="0" borderId="0" xfId="1" applyNumberFormat="1" applyFont="1"/>
    <xf numFmtId="0" fontId="0" fillId="2" borderId="3"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left"/>
    </xf>
    <xf numFmtId="0" fontId="0" fillId="0" borderId="0" xfId="0" applyAlignment="1">
      <alignment horizontal="left" wrapText="1"/>
    </xf>
    <xf numFmtId="0" fontId="0" fillId="0" borderId="0" xfId="0" applyAlignment="1">
      <alignment horizontal="center"/>
    </xf>
    <xf numFmtId="0" fontId="0" fillId="0" borderId="1" xfId="0"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election activeCell="B14" sqref="B14"/>
    </sheetView>
  </sheetViews>
  <sheetFormatPr defaultRowHeight="14.5" x14ac:dyDescent="0.35"/>
  <cols>
    <col min="1" max="1" width="57.90625" bestFit="1" customWidth="1"/>
    <col min="2" max="2" width="14.453125" bestFit="1" customWidth="1"/>
  </cols>
  <sheetData>
    <row r="1" spans="1:2" x14ac:dyDescent="0.35">
      <c r="A1" s="22" t="s">
        <v>238</v>
      </c>
    </row>
    <row r="3" spans="1:2" x14ac:dyDescent="0.35">
      <c r="A3" s="88" t="s">
        <v>239</v>
      </c>
      <c r="B3" s="88" t="s">
        <v>240</v>
      </c>
    </row>
    <row r="4" spans="1:2" x14ac:dyDescent="0.35">
      <c r="A4" s="12" t="str">
        <f>'[1]Ann 1'!A3</f>
        <v>Annexure 1 - Estimated cost of the project</v>
      </c>
      <c r="B4" s="89" t="s">
        <v>241</v>
      </c>
    </row>
    <row r="5" spans="1:2" x14ac:dyDescent="0.35">
      <c r="A5" s="12" t="str">
        <f>'[1]Ann 2'!A1</f>
        <v>Annexure 2 - Means of Finance</v>
      </c>
      <c r="B5" s="89" t="s">
        <v>242</v>
      </c>
    </row>
    <row r="6" spans="1:2" x14ac:dyDescent="0.35">
      <c r="A6" s="12" t="str">
        <f>'Ann 3'!A1</f>
        <v>Annexure 3 - Complete Estimate of Civil and Plant and Machinery</v>
      </c>
      <c r="B6" s="89" t="s">
        <v>278</v>
      </c>
    </row>
    <row r="7" spans="1:2" x14ac:dyDescent="0.35">
      <c r="A7" s="12" t="str">
        <f>'[1]Ann 4'!A1</f>
        <v>Annexure 4 - Estimated Cost of Production</v>
      </c>
      <c r="B7" s="89" t="s">
        <v>243</v>
      </c>
    </row>
    <row r="8" spans="1:2" x14ac:dyDescent="0.35">
      <c r="A8" s="12" t="str">
        <f>'[1]Ann 5'!A1</f>
        <v>Annexure 5- Projected balance sheet</v>
      </c>
      <c r="B8" s="89" t="s">
        <v>244</v>
      </c>
    </row>
    <row r="9" spans="1:2" x14ac:dyDescent="0.35">
      <c r="A9" s="12" t="str">
        <f>'Ann 8'!A1</f>
        <v>Annexure 8 - Details of Mnpower</v>
      </c>
      <c r="B9" s="89" t="s">
        <v>245</v>
      </c>
    </row>
    <row r="10" spans="1:2" x14ac:dyDescent="0.35">
      <c r="A10" s="12" t="str">
        <f>'Ann 9'!A1</f>
        <v>Annexure 9 - Computation of Depreciation</v>
      </c>
      <c r="B10" s="89" t="s">
        <v>246</v>
      </c>
    </row>
    <row r="11" spans="1:2" x14ac:dyDescent="0.35">
      <c r="A11" s="12" t="str">
        <f>'Ann 10'!A1</f>
        <v>Annexure 10 - Calculation of Income tax</v>
      </c>
      <c r="B11" s="89" t="s">
        <v>247</v>
      </c>
    </row>
    <row r="12" spans="1:2" x14ac:dyDescent="0.35">
      <c r="A12" s="12" t="str">
        <f>'[1]Ann 11'!A1</f>
        <v>Annexure 11- Break even analysis (At maximum capacity utilization)</v>
      </c>
      <c r="B12" s="89" t="s">
        <v>248</v>
      </c>
    </row>
    <row r="13" spans="1:2" x14ac:dyDescent="0.35">
      <c r="A13" s="12" t="str">
        <f>'Ann 13'!A1</f>
        <v>Annexure 13 - Repayment schedule</v>
      </c>
      <c r="B13" s="89" t="s">
        <v>249</v>
      </c>
    </row>
    <row r="14" spans="1:2" x14ac:dyDescent="0.35">
      <c r="A14" s="12" t="str">
        <f>[1]Assumptions!B1</f>
        <v>Assumptions</v>
      </c>
      <c r="B14" s="90" t="s">
        <v>250</v>
      </c>
    </row>
    <row r="15" spans="1:2" x14ac:dyDescent="0.35">
      <c r="A15" s="12" t="str">
        <f>'Cash flows'!A1</f>
        <v>Cash flow statement</v>
      </c>
      <c r="B15" s="89" t="s">
        <v>256</v>
      </c>
    </row>
    <row r="16" spans="1:2" x14ac:dyDescent="0.35">
      <c r="A16" s="12" t="str">
        <f>[1]Budgets!A1</f>
        <v>Sales Budget</v>
      </c>
      <c r="B16" s="90" t="s">
        <v>251</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4" location="Assumptions!A1" display="Assumptions!A1" xr:uid="{E978F649-0532-497D-92AA-EF316AAFA8E7}"/>
    <hyperlink ref="B16" location="Budgets!A1" display="Budgets!A1" xr:uid="{4CD23AF4-AE8A-40D8-A5ED-3F33524C9974}"/>
    <hyperlink ref="B15" location="'Cash flows'!A1" display="'Cash flows'!A1" xr:uid="{718213C1-E053-4B01-87D5-A7B478363B5A}"/>
    <hyperlink ref="B6" location="'Ann 3'!A1" display="'Ann 3'!A1" xr:uid="{103D0423-931A-4127-89EA-F0D3EE7C4F9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H34"/>
  <sheetViews>
    <sheetView topLeftCell="A20" workbookViewId="0">
      <selection activeCell="A35" sqref="A35"/>
    </sheetView>
  </sheetViews>
  <sheetFormatPr defaultRowHeight="14.5" x14ac:dyDescent="0.35"/>
  <cols>
    <col min="2" max="2" width="23.54296875" bestFit="1" customWidth="1"/>
    <col min="4" max="4" width="14.6328125" bestFit="1" customWidth="1"/>
    <col min="5" max="5" width="13.54296875" bestFit="1" customWidth="1"/>
    <col min="6" max="6" width="13.6328125" bestFit="1" customWidth="1"/>
    <col min="16" max="16" width="13.6328125" bestFit="1" customWidth="1"/>
    <col min="17" max="17" width="12.54296875" bestFit="1" customWidth="1"/>
  </cols>
  <sheetData>
    <row r="1" spans="1:8" x14ac:dyDescent="0.35">
      <c r="A1" s="22" t="s">
        <v>71</v>
      </c>
    </row>
    <row r="3" spans="1:8" x14ac:dyDescent="0.35">
      <c r="A3" s="3" t="s">
        <v>72</v>
      </c>
    </row>
    <row r="5" spans="1:8" x14ac:dyDescent="0.35">
      <c r="B5" t="s">
        <v>50</v>
      </c>
      <c r="F5" s="15">
        <f>'Ann 4'!C23/70%</f>
        <v>838200000</v>
      </c>
    </row>
    <row r="6" spans="1:8" x14ac:dyDescent="0.35">
      <c r="B6" t="s">
        <v>73</v>
      </c>
    </row>
    <row r="7" spans="1:8" x14ac:dyDescent="0.35">
      <c r="B7" s="23" t="s">
        <v>200</v>
      </c>
      <c r="E7" s="15">
        <f>'Ann 4'!C7/70%</f>
        <v>778800000</v>
      </c>
    </row>
    <row r="8" spans="1:8" x14ac:dyDescent="0.35">
      <c r="B8" s="23" t="s">
        <v>74</v>
      </c>
      <c r="E8" s="16">
        <f>E7*1.5%</f>
        <v>11682000</v>
      </c>
    </row>
    <row r="9" spans="1:8" x14ac:dyDescent="0.35">
      <c r="B9" s="23" t="s">
        <v>75</v>
      </c>
      <c r="E9" s="16">
        <f>2*Budgets!B18</f>
        <v>13200000</v>
      </c>
      <c r="G9" s="23"/>
    </row>
    <row r="10" spans="1:8" x14ac:dyDescent="0.35">
      <c r="B10" s="23" t="s">
        <v>76</v>
      </c>
      <c r="E10" s="16">
        <v>0</v>
      </c>
      <c r="F10" s="16"/>
    </row>
    <row r="11" spans="1:8" x14ac:dyDescent="0.35">
      <c r="B11" s="23" t="s">
        <v>80</v>
      </c>
      <c r="E11" s="16">
        <f>160000+'Ann 4'!K43</f>
        <v>327511.955078125</v>
      </c>
      <c r="F11" s="16">
        <f>SUM(E7:E11)</f>
        <v>804009511.95507813</v>
      </c>
      <c r="H11" s="24"/>
    </row>
    <row r="12" spans="1:8" x14ac:dyDescent="0.35">
      <c r="B12" t="s">
        <v>77</v>
      </c>
      <c r="F12" s="16">
        <f>F5-F11</f>
        <v>34190488.044921875</v>
      </c>
    </row>
    <row r="13" spans="1:8" x14ac:dyDescent="0.35">
      <c r="B13" t="s">
        <v>78</v>
      </c>
    </row>
    <row r="14" spans="1:8" x14ac:dyDescent="0.35">
      <c r="B14" t="s">
        <v>79</v>
      </c>
      <c r="F14" s="16">
        <f>'Ann 4'!C16</f>
        <v>1978560</v>
      </c>
    </row>
    <row r="15" spans="1:8" x14ac:dyDescent="0.35">
      <c r="B15" t="s">
        <v>81</v>
      </c>
      <c r="F15" s="16">
        <f>'Ann 9'!F12</f>
        <v>2065889.4499999997</v>
      </c>
    </row>
    <row r="16" spans="1:8" x14ac:dyDescent="0.35">
      <c r="B16" t="s">
        <v>285</v>
      </c>
      <c r="F16" s="16">
        <v>1000000</v>
      </c>
    </row>
    <row r="17" spans="2:6" x14ac:dyDescent="0.35">
      <c r="B17" t="s">
        <v>234</v>
      </c>
      <c r="F17" s="16">
        <f>SUM('Ann 13'!E10:E13)*100000</f>
        <v>833452.89</v>
      </c>
    </row>
    <row r="18" spans="2:6" x14ac:dyDescent="0.35">
      <c r="B18" t="s">
        <v>82</v>
      </c>
      <c r="F18" s="16">
        <f>SUM(F14:F17)</f>
        <v>5877902.3399999989</v>
      </c>
    </row>
    <row r="20" spans="2:6" x14ac:dyDescent="0.35">
      <c r="D20" t="s">
        <v>231</v>
      </c>
    </row>
    <row r="21" spans="2:6" x14ac:dyDescent="0.35">
      <c r="B21" t="s">
        <v>87</v>
      </c>
      <c r="D21">
        <f>Budgets!C18</f>
        <v>127</v>
      </c>
    </row>
    <row r="22" spans="2:6" x14ac:dyDescent="0.35">
      <c r="B22" s="23" t="s">
        <v>286</v>
      </c>
      <c r="D22">
        <f>Budgets!D18*2</f>
        <v>118</v>
      </c>
    </row>
    <row r="23" spans="2:6" x14ac:dyDescent="0.35">
      <c r="B23" s="23" t="s">
        <v>86</v>
      </c>
      <c r="D23">
        <f>D21*1.5%</f>
        <v>1.905</v>
      </c>
    </row>
    <row r="24" spans="2:6" x14ac:dyDescent="0.35">
      <c r="B24" s="23" t="s">
        <v>85</v>
      </c>
      <c r="D24" s="91">
        <f>E10/Budgets!B18</f>
        <v>0</v>
      </c>
    </row>
    <row r="25" spans="2:6" x14ac:dyDescent="0.35">
      <c r="B25" t="s">
        <v>84</v>
      </c>
      <c r="D25">
        <v>2</v>
      </c>
    </row>
    <row r="26" spans="2:6" x14ac:dyDescent="0.35">
      <c r="B26" t="s">
        <v>285</v>
      </c>
      <c r="D26">
        <f>D21*1%</f>
        <v>1.27</v>
      </c>
    </row>
    <row r="27" spans="2:6" x14ac:dyDescent="0.35">
      <c r="B27" t="s">
        <v>284</v>
      </c>
      <c r="D27">
        <v>2</v>
      </c>
      <c r="F27" s="16"/>
    </row>
    <row r="28" spans="2:6" x14ac:dyDescent="0.35">
      <c r="B28" t="s">
        <v>83</v>
      </c>
      <c r="D28" s="91">
        <f>E11/Budgets!B18</f>
        <v>4.9623023496685605E-2</v>
      </c>
    </row>
    <row r="29" spans="2:6" x14ac:dyDescent="0.35">
      <c r="B29" t="s">
        <v>230</v>
      </c>
      <c r="D29">
        <f>D21-SUM(D22:D28)</f>
        <v>1.775376976503324</v>
      </c>
    </row>
    <row r="30" spans="2:6" x14ac:dyDescent="0.35">
      <c r="B30" t="s">
        <v>232</v>
      </c>
      <c r="D30" s="82">
        <f>F18/D29</f>
        <v>3310791.1265002224</v>
      </c>
    </row>
    <row r="31" spans="2:6" x14ac:dyDescent="0.35">
      <c r="B31" t="s">
        <v>233</v>
      </c>
      <c r="D31" s="42">
        <f>D30/Budgets!B18</f>
        <v>0.50163501916670039</v>
      </c>
    </row>
    <row r="32" spans="2:6" x14ac:dyDescent="0.35">
      <c r="D32" s="42"/>
    </row>
    <row r="33" spans="1:6" ht="49" customHeight="1" x14ac:dyDescent="0.35">
      <c r="A33" s="114" t="s">
        <v>295</v>
      </c>
      <c r="B33" s="114"/>
      <c r="C33" s="114"/>
      <c r="D33" s="114"/>
      <c r="E33" s="114"/>
      <c r="F33" s="114"/>
    </row>
    <row r="34" spans="1:6" ht="86.5" customHeight="1" x14ac:dyDescent="0.35">
      <c r="A34" s="114" t="s">
        <v>299</v>
      </c>
      <c r="B34" s="114"/>
      <c r="C34" s="114"/>
      <c r="D34" s="114"/>
      <c r="E34" s="114"/>
      <c r="F34" s="114"/>
    </row>
  </sheetData>
  <mergeCells count="2">
    <mergeCell ref="A33:F33"/>
    <mergeCell ref="A34:F3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88</v>
      </c>
    </row>
    <row r="3" spans="1:11" x14ac:dyDescent="0.35">
      <c r="C3" s="115" t="s">
        <v>89</v>
      </c>
      <c r="D3" s="115"/>
      <c r="E3" s="115"/>
      <c r="F3" s="115"/>
      <c r="G3" s="115"/>
      <c r="H3" s="115"/>
      <c r="I3" s="115"/>
      <c r="J3" s="115"/>
      <c r="K3" s="115"/>
    </row>
    <row r="4" spans="1:11" x14ac:dyDescent="0.35">
      <c r="C4">
        <v>1</v>
      </c>
      <c r="D4">
        <v>2</v>
      </c>
      <c r="E4">
        <v>3</v>
      </c>
      <c r="F4">
        <v>4</v>
      </c>
      <c r="G4">
        <v>5</v>
      </c>
      <c r="H4">
        <v>6</v>
      </c>
      <c r="I4">
        <v>7</v>
      </c>
      <c r="J4">
        <v>8</v>
      </c>
      <c r="K4">
        <v>9</v>
      </c>
    </row>
    <row r="5" spans="1:11" x14ac:dyDescent="0.35">
      <c r="A5" t="s">
        <v>90</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91</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92</v>
      </c>
    </row>
  </sheetData>
  <mergeCells count="1">
    <mergeCell ref="C3:K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sheetPr>
    <pageSetUpPr fitToPage="1"/>
  </sheetPr>
  <dimension ref="A1:G41"/>
  <sheetViews>
    <sheetView topLeftCell="A26" workbookViewId="0">
      <selection activeCell="D5" sqref="D5"/>
    </sheetView>
  </sheetViews>
  <sheetFormatPr defaultRowHeight="14.5" x14ac:dyDescent="0.35"/>
  <cols>
    <col min="1" max="1" width="4.54296875" bestFit="1" customWidth="1"/>
    <col min="2" max="2" width="7.36328125" bestFit="1" customWidth="1"/>
    <col min="3" max="3" width="17.81640625" bestFit="1" customWidth="1"/>
    <col min="4" max="4" width="17.36328125" bestFit="1" customWidth="1"/>
    <col min="5" max="5" width="7.26953125" bestFit="1" customWidth="1"/>
  </cols>
  <sheetData>
    <row r="1" spans="1:7" x14ac:dyDescent="0.35">
      <c r="A1" s="22" t="s">
        <v>98</v>
      </c>
    </row>
    <row r="3" spans="1:7" x14ac:dyDescent="0.35">
      <c r="A3" s="3" t="s">
        <v>99</v>
      </c>
    </row>
    <row r="4" spans="1:7" x14ac:dyDescent="0.35">
      <c r="A4" t="s">
        <v>100</v>
      </c>
      <c r="D4" s="2">
        <f>'Ann 2'!C6</f>
        <v>140.256315</v>
      </c>
    </row>
    <row r="5" spans="1:7" x14ac:dyDescent="0.35">
      <c r="A5" t="s">
        <v>300</v>
      </c>
      <c r="D5" s="2">
        <v>12.5</v>
      </c>
    </row>
    <row r="6" spans="1:7" x14ac:dyDescent="0.35">
      <c r="A6" t="s">
        <v>101</v>
      </c>
      <c r="D6" s="104">
        <v>0.06</v>
      </c>
    </row>
    <row r="7" spans="1:7" x14ac:dyDescent="0.35">
      <c r="A7" t="s">
        <v>102</v>
      </c>
      <c r="D7" s="105" t="s">
        <v>163</v>
      </c>
    </row>
    <row r="9" spans="1:7" x14ac:dyDescent="0.35">
      <c r="A9" s="34" t="s">
        <v>70</v>
      </c>
      <c r="B9" s="34" t="s">
        <v>103</v>
      </c>
      <c r="C9" s="34" t="s">
        <v>104</v>
      </c>
      <c r="D9" s="34" t="s">
        <v>106</v>
      </c>
      <c r="E9" s="34" t="s">
        <v>105</v>
      </c>
    </row>
    <row r="10" spans="1:7" x14ac:dyDescent="0.35">
      <c r="A10" s="116">
        <v>1</v>
      </c>
      <c r="B10" s="12">
        <v>1</v>
      </c>
      <c r="C10" s="65">
        <f>$D$4</f>
        <v>140.256315</v>
      </c>
      <c r="D10" s="12">
        <v>0</v>
      </c>
      <c r="E10" s="12">
        <f>C10*$D$6/4</f>
        <v>2.1038447250000001</v>
      </c>
    </row>
    <row r="11" spans="1:7" x14ac:dyDescent="0.35">
      <c r="A11" s="116"/>
      <c r="B11" s="12">
        <v>2</v>
      </c>
      <c r="C11" s="65">
        <f>$D$4</f>
        <v>140.256315</v>
      </c>
      <c r="D11" s="12">
        <v>0</v>
      </c>
      <c r="E11" s="12">
        <f t="shared" ref="E11:E37" si="0">C11*$D$6/4</f>
        <v>2.1038447250000001</v>
      </c>
      <c r="G11" s="68"/>
    </row>
    <row r="12" spans="1:7" x14ac:dyDescent="0.35">
      <c r="A12" s="116"/>
      <c r="B12" s="12">
        <v>3</v>
      </c>
      <c r="C12" s="65">
        <f>$D$4</f>
        <v>140.256315</v>
      </c>
      <c r="D12" s="12">
        <v>5.39</v>
      </c>
      <c r="E12" s="12">
        <f t="shared" si="0"/>
        <v>2.1038447250000001</v>
      </c>
    </row>
    <row r="13" spans="1:7" x14ac:dyDescent="0.35">
      <c r="A13" s="116"/>
      <c r="B13" s="12">
        <v>4</v>
      </c>
      <c r="C13" s="12">
        <f t="shared" ref="C13:C18" si="1">C12-D12</f>
        <v>134.86631500000001</v>
      </c>
      <c r="D13" s="12">
        <f>D12</f>
        <v>5.39</v>
      </c>
      <c r="E13" s="12">
        <f t="shared" si="0"/>
        <v>2.0229947250000002</v>
      </c>
    </row>
    <row r="14" spans="1:7" x14ac:dyDescent="0.35">
      <c r="A14" s="116">
        <v>2</v>
      </c>
      <c r="B14" s="12">
        <v>1</v>
      </c>
      <c r="C14" s="12">
        <f t="shared" si="1"/>
        <v>129.47631500000003</v>
      </c>
      <c r="D14" s="12">
        <f t="shared" ref="D14:D34" si="2">D13</f>
        <v>5.39</v>
      </c>
      <c r="E14" s="12">
        <f t="shared" si="0"/>
        <v>1.9421447250000003</v>
      </c>
    </row>
    <row r="15" spans="1:7" x14ac:dyDescent="0.35">
      <c r="A15" s="116"/>
      <c r="B15" s="12">
        <v>2</v>
      </c>
      <c r="C15" s="12">
        <f t="shared" si="1"/>
        <v>124.08631500000003</v>
      </c>
      <c r="D15" s="12">
        <f t="shared" si="2"/>
        <v>5.39</v>
      </c>
      <c r="E15" s="12">
        <f t="shared" si="0"/>
        <v>1.8612947250000003</v>
      </c>
    </row>
    <row r="16" spans="1:7" x14ac:dyDescent="0.35">
      <c r="A16" s="116"/>
      <c r="B16" s="12">
        <v>3</v>
      </c>
      <c r="C16" s="12">
        <f t="shared" si="1"/>
        <v>118.69631500000003</v>
      </c>
      <c r="D16" s="12">
        <f t="shared" si="2"/>
        <v>5.39</v>
      </c>
      <c r="E16" s="12">
        <f t="shared" si="0"/>
        <v>1.7804447250000004</v>
      </c>
    </row>
    <row r="17" spans="1:5" x14ac:dyDescent="0.35">
      <c r="A17" s="116"/>
      <c r="B17" s="12">
        <v>4</v>
      </c>
      <c r="C17" s="12">
        <f t="shared" si="1"/>
        <v>113.30631500000003</v>
      </c>
      <c r="D17" s="12">
        <f t="shared" si="2"/>
        <v>5.39</v>
      </c>
      <c r="E17" s="12">
        <f t="shared" si="0"/>
        <v>1.6995947250000003</v>
      </c>
    </row>
    <row r="18" spans="1:5" x14ac:dyDescent="0.35">
      <c r="A18" s="116">
        <v>3</v>
      </c>
      <c r="B18" s="12">
        <v>1</v>
      </c>
      <c r="C18" s="12">
        <f t="shared" si="1"/>
        <v>107.91631500000003</v>
      </c>
      <c r="D18" s="12">
        <f t="shared" si="2"/>
        <v>5.39</v>
      </c>
      <c r="E18" s="12">
        <f t="shared" si="0"/>
        <v>1.6187447250000002</v>
      </c>
    </row>
    <row r="19" spans="1:5" x14ac:dyDescent="0.35">
      <c r="A19" s="116"/>
      <c r="B19" s="12">
        <v>2</v>
      </c>
      <c r="C19" s="12">
        <f t="shared" ref="C19:C36" si="3">C18-D18</f>
        <v>102.52631500000003</v>
      </c>
      <c r="D19" s="12">
        <f t="shared" si="2"/>
        <v>5.39</v>
      </c>
      <c r="E19" s="12">
        <f t="shared" si="0"/>
        <v>1.5378947250000004</v>
      </c>
    </row>
    <row r="20" spans="1:5" x14ac:dyDescent="0.35">
      <c r="A20" s="116"/>
      <c r="B20" s="12">
        <v>3</v>
      </c>
      <c r="C20" s="12">
        <f t="shared" si="3"/>
        <v>97.136315000000025</v>
      </c>
      <c r="D20" s="12">
        <f t="shared" si="2"/>
        <v>5.39</v>
      </c>
      <c r="E20" s="12">
        <f t="shared" si="0"/>
        <v>1.4570447250000003</v>
      </c>
    </row>
    <row r="21" spans="1:5" x14ac:dyDescent="0.35">
      <c r="A21" s="116"/>
      <c r="B21" s="12">
        <v>4</v>
      </c>
      <c r="C21" s="12">
        <f t="shared" si="3"/>
        <v>91.746315000000024</v>
      </c>
      <c r="D21" s="12">
        <f t="shared" si="2"/>
        <v>5.39</v>
      </c>
      <c r="E21" s="12">
        <f t="shared" si="0"/>
        <v>1.3761947250000004</v>
      </c>
    </row>
    <row r="22" spans="1:5" x14ac:dyDescent="0.35">
      <c r="A22" s="116">
        <v>4</v>
      </c>
      <c r="B22" s="12">
        <v>1</v>
      </c>
      <c r="C22" s="12">
        <f t="shared" si="3"/>
        <v>86.356315000000023</v>
      </c>
      <c r="D22" s="12">
        <f t="shared" si="2"/>
        <v>5.39</v>
      </c>
      <c r="E22" s="12">
        <f t="shared" si="0"/>
        <v>1.2953447250000003</v>
      </c>
    </row>
    <row r="23" spans="1:5" x14ac:dyDescent="0.35">
      <c r="A23" s="116"/>
      <c r="B23" s="12">
        <v>2</v>
      </c>
      <c r="C23" s="12">
        <f t="shared" si="3"/>
        <v>80.966315000000023</v>
      </c>
      <c r="D23" s="12">
        <f t="shared" si="2"/>
        <v>5.39</v>
      </c>
      <c r="E23" s="12">
        <f t="shared" si="0"/>
        <v>1.2144947250000002</v>
      </c>
    </row>
    <row r="24" spans="1:5" x14ac:dyDescent="0.35">
      <c r="A24" s="116"/>
      <c r="B24" s="12">
        <v>3</v>
      </c>
      <c r="C24" s="12">
        <f t="shared" si="3"/>
        <v>75.576315000000022</v>
      </c>
      <c r="D24" s="12">
        <f t="shared" si="2"/>
        <v>5.39</v>
      </c>
      <c r="E24" s="12">
        <f t="shared" si="0"/>
        <v>1.1336447250000004</v>
      </c>
    </row>
    <row r="25" spans="1:5" x14ac:dyDescent="0.35">
      <c r="A25" s="116"/>
      <c r="B25" s="12">
        <v>4</v>
      </c>
      <c r="C25" s="12">
        <f t="shared" si="3"/>
        <v>70.186315000000022</v>
      </c>
      <c r="D25" s="12">
        <f t="shared" si="2"/>
        <v>5.39</v>
      </c>
      <c r="E25" s="12">
        <f t="shared" si="0"/>
        <v>1.0527947250000003</v>
      </c>
    </row>
    <row r="26" spans="1:5" x14ac:dyDescent="0.35">
      <c r="A26" s="116">
        <v>5</v>
      </c>
      <c r="B26" s="12">
        <v>1</v>
      </c>
      <c r="C26" s="12">
        <f t="shared" si="3"/>
        <v>64.796315000000021</v>
      </c>
      <c r="D26" s="12">
        <f t="shared" si="2"/>
        <v>5.39</v>
      </c>
      <c r="E26" s="12">
        <f t="shared" si="0"/>
        <v>0.97194472500000029</v>
      </c>
    </row>
    <row r="27" spans="1:5" x14ac:dyDescent="0.35">
      <c r="A27" s="116"/>
      <c r="B27" s="12">
        <v>2</v>
      </c>
      <c r="C27" s="12">
        <f t="shared" si="3"/>
        <v>59.406315000000021</v>
      </c>
      <c r="D27" s="12">
        <f t="shared" si="2"/>
        <v>5.39</v>
      </c>
      <c r="E27" s="12">
        <f t="shared" si="0"/>
        <v>0.89109472500000031</v>
      </c>
    </row>
    <row r="28" spans="1:5" x14ac:dyDescent="0.35">
      <c r="A28" s="116"/>
      <c r="B28" s="12">
        <v>3</v>
      </c>
      <c r="C28" s="12">
        <f t="shared" si="3"/>
        <v>54.01631500000002</v>
      </c>
      <c r="D28" s="12">
        <f t="shared" si="2"/>
        <v>5.39</v>
      </c>
      <c r="E28" s="12">
        <f t="shared" si="0"/>
        <v>0.81024472500000022</v>
      </c>
    </row>
    <row r="29" spans="1:5" x14ac:dyDescent="0.35">
      <c r="A29" s="116"/>
      <c r="B29" s="12">
        <v>4</v>
      </c>
      <c r="C29" s="12">
        <f t="shared" si="3"/>
        <v>48.626315000000019</v>
      </c>
      <c r="D29" s="12">
        <f t="shared" si="2"/>
        <v>5.39</v>
      </c>
      <c r="E29" s="12">
        <f t="shared" si="0"/>
        <v>0.72939472500000024</v>
      </c>
    </row>
    <row r="30" spans="1:5" x14ac:dyDescent="0.35">
      <c r="A30" s="116">
        <v>6</v>
      </c>
      <c r="B30" s="12">
        <v>1</v>
      </c>
      <c r="C30" s="12">
        <f t="shared" si="3"/>
        <v>43.236315000000019</v>
      </c>
      <c r="D30" s="12">
        <f t="shared" si="2"/>
        <v>5.39</v>
      </c>
      <c r="E30" s="12">
        <f t="shared" si="0"/>
        <v>0.64854472500000027</v>
      </c>
    </row>
    <row r="31" spans="1:5" x14ac:dyDescent="0.35">
      <c r="A31" s="116"/>
      <c r="B31" s="12">
        <v>2</v>
      </c>
      <c r="C31" s="12">
        <f t="shared" si="3"/>
        <v>37.846315000000018</v>
      </c>
      <c r="D31" s="12">
        <f t="shared" si="2"/>
        <v>5.39</v>
      </c>
      <c r="E31" s="12">
        <f t="shared" si="0"/>
        <v>0.56769472500000029</v>
      </c>
    </row>
    <row r="32" spans="1:5" x14ac:dyDescent="0.35">
      <c r="A32" s="116"/>
      <c r="B32" s="12">
        <v>3</v>
      </c>
      <c r="C32" s="12">
        <f t="shared" si="3"/>
        <v>32.456315000000018</v>
      </c>
      <c r="D32" s="12">
        <f t="shared" si="2"/>
        <v>5.39</v>
      </c>
      <c r="E32" s="12">
        <f t="shared" si="0"/>
        <v>0.48684472500000026</v>
      </c>
    </row>
    <row r="33" spans="1:6" x14ac:dyDescent="0.35">
      <c r="A33" s="116"/>
      <c r="B33" s="12">
        <v>4</v>
      </c>
      <c r="C33" s="12">
        <f t="shared" si="3"/>
        <v>27.066315000000017</v>
      </c>
      <c r="D33" s="12">
        <f t="shared" si="2"/>
        <v>5.39</v>
      </c>
      <c r="E33" s="12">
        <f t="shared" si="0"/>
        <v>0.40599472500000022</v>
      </c>
    </row>
    <row r="34" spans="1:6" x14ac:dyDescent="0.35">
      <c r="A34" s="116">
        <v>7</v>
      </c>
      <c r="B34" s="12">
        <v>1</v>
      </c>
      <c r="C34" s="12">
        <f t="shared" si="3"/>
        <v>21.676315000000017</v>
      </c>
      <c r="D34" s="12">
        <f t="shared" si="2"/>
        <v>5.39</v>
      </c>
      <c r="E34" s="12">
        <f t="shared" si="0"/>
        <v>0.32514472500000025</v>
      </c>
    </row>
    <row r="35" spans="1:6" x14ac:dyDescent="0.35">
      <c r="A35" s="116"/>
      <c r="B35" s="12">
        <v>2</v>
      </c>
      <c r="C35" s="12">
        <f t="shared" si="3"/>
        <v>16.286315000000016</v>
      </c>
      <c r="D35" s="12">
        <v>3.7863150000000161</v>
      </c>
      <c r="E35" s="12">
        <f t="shared" si="0"/>
        <v>0.24429472500000024</v>
      </c>
    </row>
    <row r="36" spans="1:6" x14ac:dyDescent="0.35">
      <c r="A36" s="116"/>
      <c r="B36" s="12">
        <v>3</v>
      </c>
      <c r="C36" s="12">
        <f t="shared" si="3"/>
        <v>12.5</v>
      </c>
      <c r="D36" s="12">
        <v>0</v>
      </c>
      <c r="E36" s="12">
        <f t="shared" si="0"/>
        <v>0.1875</v>
      </c>
      <c r="F36" t="s">
        <v>304</v>
      </c>
    </row>
    <row r="37" spans="1:6" x14ac:dyDescent="0.35">
      <c r="A37" s="116"/>
      <c r="B37" s="12">
        <v>4</v>
      </c>
      <c r="C37" s="12">
        <v>0</v>
      </c>
      <c r="D37" s="65">
        <v>0</v>
      </c>
      <c r="E37" s="12">
        <f t="shared" si="0"/>
        <v>0</v>
      </c>
    </row>
    <row r="39" spans="1:6" ht="59" customHeight="1" x14ac:dyDescent="0.35">
      <c r="A39" s="114" t="s">
        <v>301</v>
      </c>
      <c r="B39" s="114"/>
      <c r="C39" s="114"/>
      <c r="D39" s="114"/>
      <c r="E39" s="114"/>
    </row>
    <row r="40" spans="1:6" ht="46.5" customHeight="1" x14ac:dyDescent="0.35">
      <c r="A40" s="114" t="s">
        <v>302</v>
      </c>
      <c r="B40" s="114"/>
      <c r="C40" s="114"/>
      <c r="D40" s="114"/>
      <c r="E40" s="114"/>
    </row>
    <row r="41" spans="1:6" ht="31.5" customHeight="1" x14ac:dyDescent="0.35">
      <c r="A41" s="114" t="s">
        <v>303</v>
      </c>
      <c r="B41" s="114"/>
      <c r="C41" s="114"/>
      <c r="D41" s="114"/>
      <c r="E41" s="114"/>
    </row>
  </sheetData>
  <mergeCells count="10">
    <mergeCell ref="A39:E39"/>
    <mergeCell ref="A40:E40"/>
    <mergeCell ref="A41:E41"/>
    <mergeCell ref="A34:A37"/>
    <mergeCell ref="A10:A13"/>
    <mergeCell ref="A14:A17"/>
    <mergeCell ref="A18:A21"/>
    <mergeCell ref="A22:A25"/>
    <mergeCell ref="A26:A29"/>
    <mergeCell ref="A30:A33"/>
  </mergeCells>
  <pageMargins left="0.7" right="0.7" top="0.75" bottom="0.75" header="0.3" footer="0.3"/>
  <pageSetup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K32"/>
  <sheetViews>
    <sheetView topLeftCell="B1" workbookViewId="0">
      <selection activeCell="B3" sqref="B3:J3"/>
    </sheetView>
  </sheetViews>
  <sheetFormatPr defaultRowHeight="14.5" x14ac:dyDescent="0.35"/>
  <cols>
    <col min="1" max="1" width="26.08984375" bestFit="1" customWidth="1"/>
    <col min="2" max="2" width="17.08984375" bestFit="1" customWidth="1"/>
    <col min="3" max="10" width="14.54296875" bestFit="1" customWidth="1"/>
    <col min="11" max="11" width="12.54296875" bestFit="1" customWidth="1"/>
  </cols>
  <sheetData>
    <row r="1" spans="1:10" x14ac:dyDescent="0.35">
      <c r="A1" s="22" t="s">
        <v>176</v>
      </c>
    </row>
    <row r="2" spans="1:10" x14ac:dyDescent="0.35">
      <c r="B2" s="115" t="s">
        <v>48</v>
      </c>
      <c r="C2" s="115"/>
      <c r="D2" s="115"/>
      <c r="E2" s="115"/>
      <c r="F2" s="115"/>
      <c r="G2" s="115"/>
      <c r="H2" s="115"/>
      <c r="I2" s="115"/>
      <c r="J2" s="115"/>
    </row>
    <row r="3" spans="1:10" x14ac:dyDescent="0.35">
      <c r="A3" s="12"/>
      <c r="B3" s="106" t="s">
        <v>39</v>
      </c>
      <c r="C3" s="106" t="s">
        <v>40</v>
      </c>
      <c r="D3" s="106" t="s">
        <v>41</v>
      </c>
      <c r="E3" s="106" t="s">
        <v>42</v>
      </c>
      <c r="F3" s="106" t="s">
        <v>43</v>
      </c>
      <c r="G3" s="106" t="s">
        <v>44</v>
      </c>
      <c r="H3" s="106" t="s">
        <v>45</v>
      </c>
      <c r="I3" s="106" t="s">
        <v>46</v>
      </c>
      <c r="J3" s="106" t="s">
        <v>47</v>
      </c>
    </row>
    <row r="4" spans="1:10" x14ac:dyDescent="0.35">
      <c r="A4" s="12" t="s">
        <v>177</v>
      </c>
      <c r="B4" s="73">
        <v>0.7</v>
      </c>
      <c r="C4" s="73">
        <v>0.75</v>
      </c>
      <c r="D4" s="73">
        <v>0.8</v>
      </c>
      <c r="E4" s="73">
        <v>0.85</v>
      </c>
      <c r="F4" s="73">
        <v>0.9</v>
      </c>
      <c r="G4" s="73">
        <v>0.95</v>
      </c>
      <c r="H4" s="73">
        <v>1</v>
      </c>
      <c r="I4" s="73">
        <v>1</v>
      </c>
      <c r="J4" s="73">
        <v>1</v>
      </c>
    </row>
    <row r="5" spans="1:10" x14ac:dyDescent="0.35">
      <c r="A5" s="12" t="s">
        <v>193</v>
      </c>
      <c r="B5" s="74">
        <f>$B$18*B4</f>
        <v>4620000</v>
      </c>
      <c r="C5" s="74">
        <f t="shared" ref="C5:J5" si="0">$B$18*C4</f>
        <v>4950000</v>
      </c>
      <c r="D5" s="74">
        <f t="shared" si="0"/>
        <v>5280000</v>
      </c>
      <c r="E5" s="74">
        <f t="shared" si="0"/>
        <v>5610000</v>
      </c>
      <c r="F5" s="74">
        <f t="shared" si="0"/>
        <v>5940000</v>
      </c>
      <c r="G5" s="74">
        <f t="shared" si="0"/>
        <v>6270000</v>
      </c>
      <c r="H5" s="74">
        <f t="shared" si="0"/>
        <v>6600000</v>
      </c>
      <c r="I5" s="74">
        <f t="shared" si="0"/>
        <v>6600000</v>
      </c>
      <c r="J5" s="74">
        <f t="shared" si="0"/>
        <v>6600000</v>
      </c>
    </row>
    <row r="6" spans="1:10" x14ac:dyDescent="0.35">
      <c r="A6" s="12" t="s">
        <v>178</v>
      </c>
      <c r="B6" s="74">
        <f>B5*99%</f>
        <v>4573800</v>
      </c>
      <c r="C6" s="74">
        <f t="shared" ref="C6:E6" si="1">C5*99%</f>
        <v>4900500</v>
      </c>
      <c r="D6" s="74">
        <f t="shared" si="1"/>
        <v>5227200</v>
      </c>
      <c r="E6" s="74">
        <f t="shared" si="1"/>
        <v>5553900</v>
      </c>
      <c r="F6" s="74">
        <f>MIN(F5*101%,F24)</f>
        <v>5999400</v>
      </c>
      <c r="G6" s="74">
        <f t="shared" ref="G6:J6" si="2">MIN(G5*101%,G24)</f>
        <v>6332700</v>
      </c>
      <c r="H6" s="74">
        <f t="shared" si="2"/>
        <v>6666000</v>
      </c>
      <c r="I6" s="74">
        <f t="shared" si="2"/>
        <v>6616500</v>
      </c>
      <c r="J6" s="74">
        <f t="shared" si="2"/>
        <v>6600000</v>
      </c>
    </row>
    <row r="7" spans="1:10" x14ac:dyDescent="0.35">
      <c r="A7" s="12" t="s">
        <v>50</v>
      </c>
      <c r="B7" s="74">
        <f>B5*C18</f>
        <v>586740000</v>
      </c>
      <c r="C7" s="74">
        <f>B7*1.07</f>
        <v>627811800</v>
      </c>
      <c r="D7" s="74">
        <f t="shared" ref="D7:J7" si="3">C7*1.07</f>
        <v>671758626</v>
      </c>
      <c r="E7" s="74">
        <f t="shared" si="3"/>
        <v>718781729.82000005</v>
      </c>
      <c r="F7" s="74">
        <f t="shared" si="3"/>
        <v>769096450.90740013</v>
      </c>
      <c r="G7" s="74">
        <f t="shared" si="3"/>
        <v>822933202.47091818</v>
      </c>
      <c r="H7" s="74">
        <f t="shared" si="3"/>
        <v>880538526.64388251</v>
      </c>
      <c r="I7" s="74">
        <f t="shared" si="3"/>
        <v>942176223.50895429</v>
      </c>
      <c r="J7" s="74">
        <f t="shared" si="3"/>
        <v>1008128559.1545812</v>
      </c>
    </row>
    <row r="8" spans="1:10" x14ac:dyDescent="0.35">
      <c r="B8" s="2"/>
      <c r="C8" s="2"/>
      <c r="D8" s="2"/>
      <c r="E8" s="2"/>
      <c r="F8" s="2"/>
      <c r="G8" s="2"/>
      <c r="H8" s="2"/>
      <c r="I8" s="2"/>
      <c r="J8" s="2"/>
    </row>
    <row r="9" spans="1:10" x14ac:dyDescent="0.35">
      <c r="B9" s="2"/>
      <c r="C9" s="2"/>
      <c r="D9" s="2"/>
      <c r="E9" s="2"/>
      <c r="F9" s="2"/>
      <c r="G9" s="2"/>
      <c r="H9" s="2"/>
      <c r="I9" s="2"/>
      <c r="J9" s="2"/>
    </row>
    <row r="11" spans="1:10" x14ac:dyDescent="0.35">
      <c r="A11" s="22" t="s">
        <v>179</v>
      </c>
    </row>
    <row r="13" spans="1:10" x14ac:dyDescent="0.35">
      <c r="A13" t="s">
        <v>180</v>
      </c>
      <c r="B13">
        <v>22000</v>
      </c>
      <c r="C13" t="s">
        <v>274</v>
      </c>
    </row>
    <row r="14" spans="1:10" x14ac:dyDescent="0.35">
      <c r="A14" t="s">
        <v>275</v>
      </c>
      <c r="B14">
        <v>300</v>
      </c>
      <c r="C14" t="s">
        <v>276</v>
      </c>
    </row>
    <row r="15" spans="1:10" x14ac:dyDescent="0.35">
      <c r="A15" t="s">
        <v>181</v>
      </c>
      <c r="B15" s="15">
        <f>B14*B13</f>
        <v>6600000</v>
      </c>
      <c r="C15" t="s">
        <v>182</v>
      </c>
    </row>
    <row r="17" spans="1:11" s="71" customFormat="1" ht="43.5" x14ac:dyDescent="0.35">
      <c r="A17" s="69" t="s">
        <v>183</v>
      </c>
      <c r="B17" s="70" t="s">
        <v>184</v>
      </c>
      <c r="C17" s="70" t="s">
        <v>185</v>
      </c>
      <c r="D17" s="70" t="s">
        <v>186</v>
      </c>
    </row>
    <row r="18" spans="1:11" s="71" customFormat="1" x14ac:dyDescent="0.35">
      <c r="A18" s="69" t="s">
        <v>192</v>
      </c>
      <c r="B18" s="75">
        <f>B15</f>
        <v>6600000</v>
      </c>
      <c r="C18" s="76">
        <v>127</v>
      </c>
      <c r="D18" s="76">
        <v>59</v>
      </c>
      <c r="E18" s="72"/>
    </row>
    <row r="20" spans="1:11" x14ac:dyDescent="0.35">
      <c r="A20" s="22" t="s">
        <v>202</v>
      </c>
      <c r="C20" s="115" t="s">
        <v>48</v>
      </c>
      <c r="D20" s="115"/>
      <c r="E20" s="115"/>
      <c r="F20" s="115"/>
      <c r="G20" s="115"/>
      <c r="H20" s="115"/>
      <c r="I20" s="115"/>
      <c r="J20" s="115"/>
      <c r="K20" s="115"/>
    </row>
    <row r="21" spans="1:11" x14ac:dyDescent="0.35">
      <c r="B21" s="101" t="s">
        <v>39</v>
      </c>
      <c r="C21" s="101" t="s">
        <v>40</v>
      </c>
      <c r="D21" s="101" t="s">
        <v>41</v>
      </c>
      <c r="E21" s="101" t="s">
        <v>42</v>
      </c>
      <c r="F21" s="101" t="s">
        <v>43</v>
      </c>
      <c r="G21" s="101" t="s">
        <v>44</v>
      </c>
      <c r="H21" s="101" t="s">
        <v>45</v>
      </c>
      <c r="I21" s="101" t="s">
        <v>46</v>
      </c>
      <c r="J21" s="101" t="s">
        <v>47</v>
      </c>
    </row>
    <row r="22" spans="1:11" x14ac:dyDescent="0.35">
      <c r="A22" t="s">
        <v>187</v>
      </c>
      <c r="B22" s="16">
        <v>0</v>
      </c>
      <c r="C22" s="16">
        <f>B26</f>
        <v>46200</v>
      </c>
      <c r="D22" s="16">
        <f t="shared" ref="D22:J22" si="4">C26</f>
        <v>95700</v>
      </c>
      <c r="E22" s="16">
        <f t="shared" si="4"/>
        <v>148500</v>
      </c>
      <c r="F22" s="16">
        <f t="shared" si="4"/>
        <v>204600</v>
      </c>
      <c r="G22" s="16">
        <f t="shared" si="4"/>
        <v>145200</v>
      </c>
      <c r="H22" s="16">
        <f t="shared" si="4"/>
        <v>82500</v>
      </c>
      <c r="I22" s="16">
        <f t="shared" si="4"/>
        <v>16500</v>
      </c>
      <c r="J22" s="16">
        <f t="shared" si="4"/>
        <v>0</v>
      </c>
    </row>
    <row r="23" spans="1:11" x14ac:dyDescent="0.35">
      <c r="A23" t="s">
        <v>188</v>
      </c>
      <c r="B23" s="16">
        <f>B5</f>
        <v>4620000</v>
      </c>
      <c r="C23" s="16">
        <f t="shared" ref="C23:J23" si="5">C5</f>
        <v>4950000</v>
      </c>
      <c r="D23" s="16">
        <f t="shared" si="5"/>
        <v>5280000</v>
      </c>
      <c r="E23" s="16">
        <f t="shared" si="5"/>
        <v>5610000</v>
      </c>
      <c r="F23" s="16">
        <f t="shared" si="5"/>
        <v>5940000</v>
      </c>
      <c r="G23" s="16">
        <f t="shared" si="5"/>
        <v>6270000</v>
      </c>
      <c r="H23" s="16">
        <f t="shared" si="5"/>
        <v>6600000</v>
      </c>
      <c r="I23" s="16">
        <f t="shared" si="5"/>
        <v>6600000</v>
      </c>
      <c r="J23" s="16">
        <f t="shared" si="5"/>
        <v>6600000</v>
      </c>
    </row>
    <row r="24" spans="1:11" x14ac:dyDescent="0.35">
      <c r="A24" t="s">
        <v>214</v>
      </c>
      <c r="B24" s="16">
        <f>SUM(B22:B23)</f>
        <v>4620000</v>
      </c>
      <c r="C24" s="16">
        <f t="shared" ref="C24:J24" si="6">SUM(C22:C23)</f>
        <v>4996200</v>
      </c>
      <c r="D24" s="16">
        <f t="shared" si="6"/>
        <v>5375700</v>
      </c>
      <c r="E24" s="16">
        <f t="shared" si="6"/>
        <v>5758500</v>
      </c>
      <c r="F24" s="16">
        <f t="shared" si="6"/>
        <v>6144600</v>
      </c>
      <c r="G24" s="16">
        <f t="shared" si="6"/>
        <v>6415200</v>
      </c>
      <c r="H24" s="16">
        <f t="shared" si="6"/>
        <v>6682500</v>
      </c>
      <c r="I24" s="16">
        <f t="shared" si="6"/>
        <v>6616500</v>
      </c>
      <c r="J24" s="16">
        <f t="shared" si="6"/>
        <v>6600000</v>
      </c>
    </row>
    <row r="25" spans="1:11" x14ac:dyDescent="0.35">
      <c r="A25" t="s">
        <v>189</v>
      </c>
      <c r="B25" s="16">
        <f>B6</f>
        <v>4573800</v>
      </c>
      <c r="C25" s="16">
        <f t="shared" ref="C25:J25" si="7">C6</f>
        <v>4900500</v>
      </c>
      <c r="D25" s="16">
        <f t="shared" si="7"/>
        <v>5227200</v>
      </c>
      <c r="E25" s="16">
        <f t="shared" si="7"/>
        <v>5553900</v>
      </c>
      <c r="F25" s="16">
        <f t="shared" si="7"/>
        <v>5999400</v>
      </c>
      <c r="G25" s="16">
        <f t="shared" si="7"/>
        <v>6332700</v>
      </c>
      <c r="H25" s="16">
        <f t="shared" si="7"/>
        <v>6666000</v>
      </c>
      <c r="I25" s="16">
        <f t="shared" si="7"/>
        <v>6616500</v>
      </c>
      <c r="J25" s="16">
        <f t="shared" si="7"/>
        <v>6600000</v>
      </c>
    </row>
    <row r="26" spans="1:11" x14ac:dyDescent="0.35">
      <c r="A26" t="s">
        <v>190</v>
      </c>
      <c r="B26" s="16">
        <f>B22+B23-B25</f>
        <v>46200</v>
      </c>
      <c r="C26" s="16">
        <f t="shared" ref="C26:J26" si="8">C22+C23-C25</f>
        <v>95700</v>
      </c>
      <c r="D26" s="16">
        <f t="shared" si="8"/>
        <v>148500</v>
      </c>
      <c r="E26" s="16">
        <f t="shared" si="8"/>
        <v>204600</v>
      </c>
      <c r="F26" s="16">
        <f t="shared" si="8"/>
        <v>145200</v>
      </c>
      <c r="G26" s="16">
        <f t="shared" si="8"/>
        <v>82500</v>
      </c>
      <c r="H26" s="16">
        <f t="shared" si="8"/>
        <v>16500</v>
      </c>
      <c r="I26" s="16">
        <f t="shared" si="8"/>
        <v>0</v>
      </c>
      <c r="J26" s="16">
        <f t="shared" si="8"/>
        <v>0</v>
      </c>
    </row>
    <row r="29" spans="1:11" x14ac:dyDescent="0.35">
      <c r="A29" t="s">
        <v>191</v>
      </c>
    </row>
    <row r="30" spans="1:11" x14ac:dyDescent="0.35">
      <c r="A30" t="s">
        <v>287</v>
      </c>
    </row>
    <row r="31" spans="1:11" x14ac:dyDescent="0.35">
      <c r="A31" t="s">
        <v>215</v>
      </c>
    </row>
    <row r="32" spans="1:11" x14ac:dyDescent="0.35">
      <c r="A32" t="s">
        <v>283</v>
      </c>
    </row>
  </sheetData>
  <mergeCells count="2">
    <mergeCell ref="B2:J2"/>
    <mergeCell ref="C20:K20"/>
  </mergeCells>
  <pageMargins left="0.7" right="0.7" top="0.75" bottom="0.75" header="0.3" footer="0.3"/>
  <pageSetup scale="7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0"/>
  <sheetViews>
    <sheetView topLeftCell="A10" workbookViewId="0">
      <selection activeCell="A23" sqref="A23"/>
    </sheetView>
  </sheetViews>
  <sheetFormatPr defaultRowHeight="14.5" x14ac:dyDescent="0.35"/>
  <cols>
    <col min="1" max="1" width="41.1796875" style="68" bestFit="1" customWidth="1"/>
    <col min="2" max="2" width="14.7265625" style="68" customWidth="1"/>
    <col min="3" max="11" width="14.7265625" style="68" bestFit="1" customWidth="1"/>
    <col min="12" max="12" width="13.6328125" style="68" bestFit="1" customWidth="1"/>
    <col min="13" max="16384" width="8.7265625" style="68"/>
  </cols>
  <sheetData>
    <row r="1" spans="1:11" x14ac:dyDescent="0.35">
      <c r="A1" s="83" t="s">
        <v>206</v>
      </c>
      <c r="B1" s="83"/>
    </row>
    <row r="2" spans="1:11" x14ac:dyDescent="0.35">
      <c r="A2" s="83"/>
      <c r="B2" s="83"/>
    </row>
    <row r="3" spans="1:11" x14ac:dyDescent="0.35">
      <c r="A3" s="84" t="s">
        <v>3</v>
      </c>
      <c r="B3" s="84">
        <v>0</v>
      </c>
      <c r="C3" s="84" t="s">
        <v>39</v>
      </c>
      <c r="D3" s="84" t="s">
        <v>40</v>
      </c>
      <c r="E3" s="84" t="s">
        <v>41</v>
      </c>
      <c r="F3" s="84" t="s">
        <v>42</v>
      </c>
      <c r="G3" s="84" t="s">
        <v>43</v>
      </c>
      <c r="H3" s="84" t="s">
        <v>44</v>
      </c>
      <c r="I3" s="84" t="s">
        <v>45</v>
      </c>
      <c r="J3" s="84" t="s">
        <v>46</v>
      </c>
      <c r="K3" s="84" t="s">
        <v>47</v>
      </c>
    </row>
    <row r="4" spans="1:11" x14ac:dyDescent="0.35">
      <c r="A4" s="85" t="s">
        <v>169</v>
      </c>
      <c r="B4" s="86">
        <v>0</v>
      </c>
      <c r="C4" s="86">
        <f>B19</f>
        <v>0</v>
      </c>
      <c r="D4" s="86">
        <f>C19</f>
        <v>46803407.122400001</v>
      </c>
      <c r="E4" s="86">
        <f t="shared" ref="E4:K4" si="0">D19</f>
        <v>36224368.340550043</v>
      </c>
      <c r="F4" s="86">
        <f t="shared" si="0"/>
        <v>33612433.334967561</v>
      </c>
      <c r="G4" s="86">
        <f t="shared" si="0"/>
        <v>31011841.736682087</v>
      </c>
      <c r="H4" s="86">
        <f t="shared" si="0"/>
        <v>41111133.561247438</v>
      </c>
      <c r="I4" s="86">
        <f t="shared" si="0"/>
        <v>52823340.546495192</v>
      </c>
      <c r="J4" s="86">
        <f t="shared" si="0"/>
        <v>66933977.020276815</v>
      </c>
      <c r="K4" s="86">
        <f t="shared" si="0"/>
        <v>79472772.208032802</v>
      </c>
    </row>
    <row r="5" spans="1:11" x14ac:dyDescent="0.35">
      <c r="A5" s="85" t="s">
        <v>235</v>
      </c>
      <c r="B5" s="86">
        <f>'Ann 5'!C18</f>
        <v>1558403.5</v>
      </c>
      <c r="C5" s="86">
        <v>0</v>
      </c>
      <c r="D5" s="86">
        <v>0</v>
      </c>
      <c r="E5" s="86">
        <v>0</v>
      </c>
      <c r="F5" s="86">
        <v>0</v>
      </c>
      <c r="G5" s="86">
        <v>0</v>
      </c>
      <c r="H5" s="86">
        <v>0</v>
      </c>
      <c r="I5" s="86">
        <v>0</v>
      </c>
      <c r="J5" s="86">
        <v>0</v>
      </c>
      <c r="K5" s="86">
        <v>0</v>
      </c>
    </row>
    <row r="6" spans="1:11" x14ac:dyDescent="0.35">
      <c r="A6" s="85" t="s">
        <v>236</v>
      </c>
      <c r="B6" s="86">
        <f>'Ann 2'!C6*100000</f>
        <v>14025631.5</v>
      </c>
      <c r="C6" s="86">
        <v>0</v>
      </c>
      <c r="D6" s="86">
        <v>0</v>
      </c>
      <c r="E6" s="86">
        <v>0</v>
      </c>
      <c r="F6" s="86">
        <v>0</v>
      </c>
      <c r="G6" s="86">
        <v>0</v>
      </c>
      <c r="H6" s="86">
        <v>0</v>
      </c>
      <c r="I6" s="86">
        <v>0</v>
      </c>
      <c r="J6" s="86">
        <v>0</v>
      </c>
      <c r="K6" s="86">
        <v>0</v>
      </c>
    </row>
    <row r="7" spans="1:11" x14ac:dyDescent="0.35">
      <c r="A7" s="85" t="s">
        <v>237</v>
      </c>
      <c r="B7" s="86">
        <f>'Ann 9'!F6*100000</f>
        <v>15584035</v>
      </c>
      <c r="C7" s="86">
        <v>0</v>
      </c>
      <c r="D7" s="86">
        <v>0</v>
      </c>
      <c r="E7" s="86">
        <v>0</v>
      </c>
      <c r="F7" s="86">
        <v>0</v>
      </c>
      <c r="G7" s="86">
        <v>0</v>
      </c>
      <c r="H7" s="86">
        <v>0</v>
      </c>
      <c r="I7" s="86">
        <v>0</v>
      </c>
      <c r="J7" s="86">
        <v>0</v>
      </c>
      <c r="K7" s="86">
        <v>0</v>
      </c>
    </row>
    <row r="8" spans="1:11" x14ac:dyDescent="0.35">
      <c r="A8" s="85" t="s">
        <v>170</v>
      </c>
      <c r="B8" s="86">
        <v>0</v>
      </c>
      <c r="C8" s="86">
        <f>'Ann 4'!C23-'Ann 5'!C13</f>
        <v>528066000</v>
      </c>
      <c r="D8" s="86">
        <f>'Ann 4'!D23-'Ann 5'!D13</f>
        <v>575494150</v>
      </c>
      <c r="E8" s="86">
        <f>'Ann 4'!E23-'Ann 5'!E13</f>
        <v>615778740.5</v>
      </c>
      <c r="F8" s="86">
        <f>'Ann 4'!F23-'Ann 5'!F13</f>
        <v>658883252.33500004</v>
      </c>
      <c r="G8" s="86">
        <f>'Ann 4'!G23-'Ann 5'!G13</f>
        <v>705005079.99845016</v>
      </c>
      <c r="H8" s="86">
        <f>'Ann 4'!H23-'Ann 5'!H13</f>
        <v>754355435.5983417</v>
      </c>
      <c r="I8" s="86">
        <f>'Ann 4'!I23-'Ann 5'!I13</f>
        <v>807160316.0902257</v>
      </c>
      <c r="J8" s="86">
        <f>'Ann 4'!J23-'Ann 5'!J13</f>
        <v>863661538.21654141</v>
      </c>
      <c r="K8" s="86">
        <f>'Ann 4'!K23-'Ann 5'!K13</f>
        <v>924117845.89169943</v>
      </c>
    </row>
    <row r="9" spans="1:11" x14ac:dyDescent="0.35">
      <c r="A9" s="85" t="s">
        <v>207</v>
      </c>
      <c r="B9" s="86">
        <v>0</v>
      </c>
      <c r="C9" s="86">
        <v>0</v>
      </c>
      <c r="D9" s="86">
        <f>'Ann 5'!C24</f>
        <v>109032000</v>
      </c>
      <c r="E9" s="86">
        <f>'Ann 5'!D24</f>
        <v>97350000</v>
      </c>
      <c r="F9" s="86">
        <f>'Ann 5'!E24</f>
        <v>103840000</v>
      </c>
      <c r="G9" s="86">
        <f>'Ann 5'!F24</f>
        <v>110330000</v>
      </c>
      <c r="H9" s="86">
        <f>'Ann 5'!G24</f>
        <v>116820000</v>
      </c>
      <c r="I9" s="86">
        <f>'Ann 5'!H24</f>
        <v>123310000</v>
      </c>
      <c r="J9" s="86">
        <f>'Ann 5'!I24</f>
        <v>129800000</v>
      </c>
      <c r="K9" s="86">
        <f>'Ann 5'!J24</f>
        <v>129800000</v>
      </c>
    </row>
    <row r="10" spans="1:11" x14ac:dyDescent="0.35">
      <c r="A10" s="85" t="s">
        <v>208</v>
      </c>
      <c r="B10" s="86">
        <v>0</v>
      </c>
      <c r="C10" s="86">
        <v>0</v>
      </c>
      <c r="D10" s="86">
        <f>'Ann 5'!C13</f>
        <v>58674000</v>
      </c>
      <c r="E10" s="86">
        <f>'Ann 5'!D13</f>
        <v>52317650</v>
      </c>
      <c r="F10" s="86">
        <f>'Ann 5'!E13</f>
        <v>55979885.5</v>
      </c>
      <c r="G10" s="86">
        <f>'Ann 5'!F13</f>
        <v>59898477.485000007</v>
      </c>
      <c r="H10" s="86">
        <f>'Ann 5'!G13</f>
        <v>64091370.908950008</v>
      </c>
      <c r="I10" s="86">
        <f>'Ann 5'!H13</f>
        <v>68577766.872576505</v>
      </c>
      <c r="J10" s="86">
        <f>'Ann 5'!I13</f>
        <v>73378210.553656876</v>
      </c>
      <c r="K10" s="86">
        <f>'Ann 5'!J13</f>
        <v>78514685.292412847</v>
      </c>
    </row>
    <row r="11" spans="1:11" x14ac:dyDescent="0.35">
      <c r="A11" s="85" t="s">
        <v>209</v>
      </c>
      <c r="B11" s="86">
        <v>0</v>
      </c>
      <c r="C11" s="86">
        <f>'Ann 4'!C10+'Ann 4'!C20-'Ann 5'!C24</f>
        <v>473198960</v>
      </c>
      <c r="D11" s="86">
        <f>'Ann 4'!D10+'Ann 4'!D20-'Ann 5'!D24</f>
        <v>526322891.60000002</v>
      </c>
      <c r="E11" s="86">
        <f>'Ann 4'!E10+'Ann 4'!E20-'Ann 5'!E24</f>
        <v>561314446.27600002</v>
      </c>
      <c r="F11" s="86">
        <f>'Ann 4'!F10+'Ann 4'!F20-'Ann 5'!F24</f>
        <v>596348251.41515994</v>
      </c>
      <c r="G11" s="86">
        <f>'Ann 4'!G10+'Ann 4'!G20-'Ann 5'!G24</f>
        <v>631664710.2980516</v>
      </c>
      <c r="H11" s="86">
        <f>'Ann 4'!H10+'Ann 4'!H20-'Ann 5'!H24</f>
        <v>667004813.96727538</v>
      </c>
      <c r="I11" s="86">
        <f>'Ann 4'!I10+'Ann 4'!I20-'Ann 5'!I24</f>
        <v>702196153.90212154</v>
      </c>
      <c r="J11" s="86">
        <f>'Ann 4'!J10+'Ann 4'!J20-'Ann 5'!J24</f>
        <v>702881928.38125694</v>
      </c>
      <c r="K11" s="86">
        <f>'Ann 4'!K10+'Ann 4'!K20-'Ann 5'!K24</f>
        <v>703686953.098827</v>
      </c>
    </row>
    <row r="12" spans="1:11" x14ac:dyDescent="0.35">
      <c r="A12" s="85" t="s">
        <v>171</v>
      </c>
      <c r="B12" s="86">
        <v>0</v>
      </c>
      <c r="C12" s="86">
        <f>'Ann 4'!C29</f>
        <v>833452.89</v>
      </c>
      <c r="D12" s="86">
        <f>'Ann 4'!D29</f>
        <v>728347.89000000025</v>
      </c>
      <c r="E12" s="86">
        <f>'Ann 4'!E29</f>
        <v>598987.89000000013</v>
      </c>
      <c r="F12" s="86">
        <f>'Ann 4'!F29</f>
        <v>469627.89000000013</v>
      </c>
      <c r="G12" s="86">
        <f>'Ann 4'!G29</f>
        <v>340267.89000000013</v>
      </c>
      <c r="H12" s="86">
        <f>'Ann 4'!H29</f>
        <v>210907.8900000001</v>
      </c>
      <c r="I12" s="86">
        <f>'Ann 4'!I29</f>
        <v>75693.945000000051</v>
      </c>
      <c r="J12" s="86">
        <f>'Ann 4'!J29</f>
        <v>0</v>
      </c>
      <c r="K12" s="86">
        <f>'Ann 4'!K29</f>
        <v>0</v>
      </c>
    </row>
    <row r="13" spans="1:11" x14ac:dyDescent="0.35">
      <c r="A13" s="85"/>
      <c r="B13" s="86">
        <v>0</v>
      </c>
      <c r="C13" s="86">
        <f>B4+C8-C9+C10-C11-C12+B5+B6-B7</f>
        <v>54033587.109999999</v>
      </c>
      <c r="D13" s="86">
        <f t="shared" ref="D13:K13" si="1">D4+D8-D9+D10-D11-D12+D5+D6-D7</f>
        <v>44888317.632400021</v>
      </c>
      <c r="E13" s="86">
        <f t="shared" si="1"/>
        <v>45057324.674550042</v>
      </c>
      <c r="F13" s="86">
        <f t="shared" si="1"/>
        <v>47817691.86480771</v>
      </c>
      <c r="G13" s="86">
        <f t="shared" si="1"/>
        <v>53580421.032080635</v>
      </c>
      <c r="H13" s="86">
        <f t="shared" si="1"/>
        <v>75522218.211263761</v>
      </c>
      <c r="I13" s="86">
        <f t="shared" si="1"/>
        <v>102979575.66217583</v>
      </c>
      <c r="J13" s="86">
        <f t="shared" si="1"/>
        <v>171291797.40921819</v>
      </c>
      <c r="K13" s="86">
        <f t="shared" si="1"/>
        <v>248618350.29331815</v>
      </c>
    </row>
    <row r="14" spans="1:11" x14ac:dyDescent="0.35">
      <c r="A14" s="85" t="s">
        <v>211</v>
      </c>
      <c r="B14" s="86">
        <v>0</v>
      </c>
      <c r="C14" s="86">
        <f>'Ann 4'!C36</f>
        <v>2146109.298</v>
      </c>
      <c r="D14" s="86">
        <f>'Ann 4'!D36</f>
        <v>2270214.8692499925</v>
      </c>
      <c r="E14" s="86">
        <f>'Ann 4'!E36</f>
        <v>3240310.9324124926</v>
      </c>
      <c r="F14" s="86">
        <f>'Ann 4'!F36</f>
        <v>5110412.8353926586</v>
      </c>
      <c r="G14" s="86">
        <f>'Ann 4'!G36</f>
        <v>3597658.4200580916</v>
      </c>
      <c r="H14" s="86">
        <f>'Ann 4'!H36</f>
        <v>7166120.1156169409</v>
      </c>
      <c r="I14" s="86">
        <f>'Ann 4'!I36</f>
        <v>11905104.816941516</v>
      </c>
      <c r="J14" s="86">
        <f>'Ann 4'!J36</f>
        <v>32029892.512041412</v>
      </c>
      <c r="K14" s="86">
        <f>'Ann 4'!K36</f>
        <v>52197846.369654</v>
      </c>
    </row>
    <row r="15" spans="1:11" x14ac:dyDescent="0.35">
      <c r="A15" s="85"/>
      <c r="B15" s="86">
        <v>0</v>
      </c>
      <c r="C15" s="86">
        <f>C13-C14</f>
        <v>51887477.811999999</v>
      </c>
      <c r="D15" s="86">
        <f t="shared" ref="D15:K15" si="2">D13-D14</f>
        <v>42618102.763150029</v>
      </c>
      <c r="E15" s="86">
        <f t="shared" si="2"/>
        <v>41817013.742137551</v>
      </c>
      <c r="F15" s="86">
        <f t="shared" si="2"/>
        <v>42707279.029415049</v>
      </c>
      <c r="G15" s="86">
        <f t="shared" si="2"/>
        <v>49982762.612022541</v>
      </c>
      <c r="H15" s="86">
        <f t="shared" si="2"/>
        <v>68356098.095646814</v>
      </c>
      <c r="I15" s="86">
        <f t="shared" si="2"/>
        <v>91074470.84523432</v>
      </c>
      <c r="J15" s="86">
        <f t="shared" si="2"/>
        <v>139261904.89717677</v>
      </c>
      <c r="K15" s="86">
        <f t="shared" si="2"/>
        <v>196420503.92366415</v>
      </c>
    </row>
    <row r="16" spans="1:11" x14ac:dyDescent="0.35">
      <c r="A16" s="85" t="s">
        <v>210</v>
      </c>
      <c r="B16" s="86">
        <v>0</v>
      </c>
      <c r="C16" s="86">
        <f>'Ann 4'!C38</f>
        <v>4006070.6896000002</v>
      </c>
      <c r="D16" s="86">
        <f>'Ann 4'!D38</f>
        <v>4237734.4225999862</v>
      </c>
      <c r="E16" s="86">
        <f>'Ann 4'!E38</f>
        <v>6048580.4071699874</v>
      </c>
      <c r="F16" s="86">
        <f>'Ann 4'!F38</f>
        <v>9539437.2927329633</v>
      </c>
      <c r="G16" s="86">
        <f>'Ann 4'!G38</f>
        <v>6715629.0507751051</v>
      </c>
      <c r="H16" s="86">
        <f>'Ann 4'!H38</f>
        <v>13376757.549151624</v>
      </c>
      <c r="I16" s="86">
        <f>'Ann 4'!I38</f>
        <v>23222862.324957505</v>
      </c>
      <c r="J16" s="86">
        <f>'Ann 4'!J38</f>
        <v>59789132.689143971</v>
      </c>
      <c r="K16" s="86">
        <f>'Ann 4'!K38</f>
        <v>97435979.890020803</v>
      </c>
    </row>
    <row r="17" spans="1:12" x14ac:dyDescent="0.35">
      <c r="A17" s="85"/>
      <c r="B17" s="86">
        <v>0</v>
      </c>
      <c r="C17" s="86">
        <f>C15-C16</f>
        <v>47881407.122400001</v>
      </c>
      <c r="D17" s="86">
        <f t="shared" ref="D17:K17" si="3">D15-D16</f>
        <v>38380368.340550043</v>
      </c>
      <c r="E17" s="86">
        <f t="shared" si="3"/>
        <v>35768433.334967561</v>
      </c>
      <c r="F17" s="86">
        <f t="shared" si="3"/>
        <v>33167841.736682087</v>
      </c>
      <c r="G17" s="86">
        <f t="shared" si="3"/>
        <v>43267133.561247438</v>
      </c>
      <c r="H17" s="86">
        <f t="shared" si="3"/>
        <v>54979340.546495192</v>
      </c>
      <c r="I17" s="86">
        <f t="shared" si="3"/>
        <v>67851608.520276815</v>
      </c>
      <c r="J17" s="86">
        <f t="shared" si="3"/>
        <v>79472772.208032802</v>
      </c>
      <c r="K17" s="86">
        <f t="shared" si="3"/>
        <v>98984524.03364335</v>
      </c>
    </row>
    <row r="18" spans="1:12" x14ac:dyDescent="0.35">
      <c r="A18" s="85" t="s">
        <v>212</v>
      </c>
      <c r="B18" s="86">
        <v>0</v>
      </c>
      <c r="C18" s="86">
        <f>SUM('Ann 13'!D10:D13)*100000</f>
        <v>1078000</v>
      </c>
      <c r="D18" s="86">
        <f>SUM('Ann 13'!D14:D17)*100000</f>
        <v>2156000</v>
      </c>
      <c r="E18" s="86">
        <f>SUM('Ann 13'!D18:D21)*100000</f>
        <v>2156000</v>
      </c>
      <c r="F18" s="86">
        <f>SUM('Ann 13'!D22:D25)*100000</f>
        <v>2156000</v>
      </c>
      <c r="G18" s="86">
        <f>SUM('Ann 13'!D26:D29)*100000</f>
        <v>2156000</v>
      </c>
      <c r="H18" s="86">
        <f>SUM('Ann 13'!D30:D33)*100000</f>
        <v>2156000</v>
      </c>
      <c r="I18" s="86">
        <f>SUM('Ann 13'!D34:D37)*100000</f>
        <v>917631.50000000163</v>
      </c>
      <c r="J18" s="86">
        <v>0</v>
      </c>
      <c r="K18" s="86">
        <v>0</v>
      </c>
    </row>
    <row r="19" spans="1:12" x14ac:dyDescent="0.35">
      <c r="A19" s="85" t="s">
        <v>213</v>
      </c>
      <c r="B19" s="86">
        <v>0</v>
      </c>
      <c r="C19" s="86">
        <f>C17-C18</f>
        <v>46803407.122400001</v>
      </c>
      <c r="D19" s="86">
        <f>D17-D18</f>
        <v>36224368.340550043</v>
      </c>
      <c r="E19" s="86">
        <f>E17-E18</f>
        <v>33612433.334967561</v>
      </c>
      <c r="F19" s="86">
        <f t="shared" ref="F19:K19" si="4">F17-F18</f>
        <v>31011841.736682087</v>
      </c>
      <c r="G19" s="86">
        <f t="shared" si="4"/>
        <v>41111133.561247438</v>
      </c>
      <c r="H19" s="86">
        <f t="shared" si="4"/>
        <v>52823340.546495192</v>
      </c>
      <c r="I19" s="86">
        <f t="shared" si="4"/>
        <v>66933977.020276815</v>
      </c>
      <c r="J19" s="86">
        <f t="shared" si="4"/>
        <v>79472772.208032802</v>
      </c>
      <c r="K19" s="86">
        <f t="shared" si="4"/>
        <v>98984524.03364335</v>
      </c>
    </row>
    <row r="21" spans="1:12" x14ac:dyDescent="0.35">
      <c r="A21" s="107" t="s">
        <v>216</v>
      </c>
      <c r="B21" s="108">
        <v>0.06</v>
      </c>
      <c r="C21" s="109"/>
      <c r="D21" s="107"/>
      <c r="E21" s="107"/>
      <c r="F21" s="107"/>
      <c r="G21" s="107"/>
      <c r="H21" s="107"/>
      <c r="I21" s="107"/>
      <c r="J21" s="107"/>
      <c r="K21" s="107"/>
      <c r="L21" s="107"/>
    </row>
    <row r="22" spans="1:12" x14ac:dyDescent="0.35">
      <c r="A22" s="107" t="s">
        <v>217</v>
      </c>
      <c r="B22" s="107">
        <v>1</v>
      </c>
      <c r="C22" s="110">
        <f>1/(1+$B$21)</f>
        <v>0.94339622641509424</v>
      </c>
      <c r="D22" s="110">
        <f>1/((1+$B$21)*(1+$B$21))</f>
        <v>0.88999644001423983</v>
      </c>
      <c r="E22" s="110">
        <f>1/((1+$B$21)*(1+$B$21)*(1+$B$21))</f>
        <v>0.8396192830323016</v>
      </c>
      <c r="F22" s="110">
        <f>1/((1+$B$21)*(1+$B$21)*(1+$B$21)*(1+$B$21))</f>
        <v>0.79209366323802044</v>
      </c>
      <c r="G22" s="110">
        <f>1/((1+$B$21)*(1+$B$21)*(1+$B$21)*(1+$B$21)*(1+$B$21))</f>
        <v>0.74725817286605689</v>
      </c>
      <c r="H22" s="110">
        <f>1/((1+$B$21)*(1+$B$21)*(1+$B$21)*(1+$B$21)*(1+$B$21)*(1+$B$21))</f>
        <v>0.70496054043967626</v>
      </c>
      <c r="I22" s="110">
        <f>1/((1+$B$21)*(1+$B$21)*(1+$B$21)*(1+$B$21)*(1+$B$21)*(1+$B$21)*(1+$B$21))</f>
        <v>0.6650571136223361</v>
      </c>
      <c r="J22" s="110">
        <f>1/((1+$B$21)*(1+$B$21)*(1+$B$21)*(1+$B$21)*(1+$B$21)*(1+$B$21)*(1+$B$21)*(1+$B$21))</f>
        <v>0.62741237134182648</v>
      </c>
      <c r="K22" s="110">
        <f>1/((1+$B$21)*(1+$B$21)*(1+$B$21)*(1+$B$21)*(1+$B$21)*(1+$B$21)*(1+$B$21)*(1+$B$21)*(1+$B$21))</f>
        <v>0.59189846353002495</v>
      </c>
      <c r="L22" s="107"/>
    </row>
    <row r="23" spans="1:12" x14ac:dyDescent="0.35">
      <c r="A23" s="107" t="s">
        <v>218</v>
      </c>
      <c r="B23" s="107">
        <f>B4+B8+B10+B5+B6</f>
        <v>15584035</v>
      </c>
      <c r="C23" s="107">
        <f>C4+C8+C10+C5+C6</f>
        <v>528066000</v>
      </c>
      <c r="D23" s="107">
        <f t="shared" ref="D23:K23" si="5">D4+D8+D10</f>
        <v>680971557.12240005</v>
      </c>
      <c r="E23" s="107">
        <f t="shared" si="5"/>
        <v>704320758.84055007</v>
      </c>
      <c r="F23" s="107">
        <f t="shared" si="5"/>
        <v>748475571.16996765</v>
      </c>
      <c r="G23" s="107">
        <f t="shared" si="5"/>
        <v>795915399.22013223</v>
      </c>
      <c r="H23" s="107">
        <f t="shared" si="5"/>
        <v>859557940.06853914</v>
      </c>
      <c r="I23" s="107">
        <f t="shared" si="5"/>
        <v>928561423.50929737</v>
      </c>
      <c r="J23" s="107">
        <f t="shared" si="5"/>
        <v>1003973725.7904751</v>
      </c>
      <c r="K23" s="107">
        <f t="shared" si="5"/>
        <v>1082105303.3921452</v>
      </c>
      <c r="L23" s="107"/>
    </row>
    <row r="24" spans="1:12" x14ac:dyDescent="0.35">
      <c r="A24" s="107" t="s">
        <v>219</v>
      </c>
      <c r="B24" s="107">
        <f>B23*B22</f>
        <v>15584035</v>
      </c>
      <c r="C24" s="107">
        <f>C23*C22</f>
        <v>498175471.69811314</v>
      </c>
      <c r="D24" s="107">
        <f t="shared" ref="D24:K24" si="6">D23*D22</f>
        <v>606062261.58988965</v>
      </c>
      <c r="E24" s="107">
        <f t="shared" si="6"/>
        <v>591361290.56246924</v>
      </c>
      <c r="F24" s="107">
        <f t="shared" si="6"/>
        <v>592862757.01218939</v>
      </c>
      <c r="G24" s="107">
        <f t="shared" si="6"/>
        <v>594754286.97719431</v>
      </c>
      <c r="H24" s="107">
        <f t="shared" si="6"/>
        <v>605954429.9699322</v>
      </c>
      <c r="I24" s="107">
        <f t="shared" si="6"/>
        <v>617546380.14014089</v>
      </c>
      <c r="J24" s="107">
        <f t="shared" si="6"/>
        <v>629905536.06309068</v>
      </c>
      <c r="K24" s="107">
        <f t="shared" si="6"/>
        <v>640496466.45550227</v>
      </c>
      <c r="L24" s="107"/>
    </row>
    <row r="25" spans="1:12" x14ac:dyDescent="0.35">
      <c r="A25" s="107" t="s">
        <v>220</v>
      </c>
      <c r="B25" s="107">
        <f>B9+B11+B12+B14+B16+B18+B7</f>
        <v>15584035</v>
      </c>
      <c r="C25" s="107">
        <f>C9+C11+C12+C14+C16+C18+C7</f>
        <v>481262592.87759995</v>
      </c>
      <c r="D25" s="107">
        <f t="shared" ref="D25:K25" si="7">D9+D11+D12+D14+D16+D18+D7</f>
        <v>644747188.78184998</v>
      </c>
      <c r="E25" s="107">
        <f t="shared" si="7"/>
        <v>670708325.50558245</v>
      </c>
      <c r="F25" s="107">
        <f t="shared" si="7"/>
        <v>717463729.43328559</v>
      </c>
      <c r="G25" s="107">
        <f t="shared" si="7"/>
        <v>754804265.65888476</v>
      </c>
      <c r="H25" s="107">
        <f t="shared" si="7"/>
        <v>806734599.52204394</v>
      </c>
      <c r="I25" s="107">
        <f t="shared" si="7"/>
        <v>861627446.48902059</v>
      </c>
      <c r="J25" s="107">
        <f t="shared" si="7"/>
        <v>924500953.5824424</v>
      </c>
      <c r="K25" s="107">
        <f t="shared" si="7"/>
        <v>983120779.35850191</v>
      </c>
      <c r="L25" s="107"/>
    </row>
    <row r="26" spans="1:12" x14ac:dyDescent="0.35">
      <c r="A26" s="107" t="s">
        <v>221</v>
      </c>
      <c r="B26" s="107">
        <f>B25*B22</f>
        <v>15584035</v>
      </c>
      <c r="C26" s="107">
        <f>C25*C22</f>
        <v>454021314.03547162</v>
      </c>
      <c r="D26" s="107">
        <f t="shared" ref="D26:K26" si="8">D25*D22</f>
        <v>573822702.72503555</v>
      </c>
      <c r="E26" s="107">
        <f t="shared" si="8"/>
        <v>563139643.38479269</v>
      </c>
      <c r="F26" s="107">
        <f t="shared" si="8"/>
        <v>568298473.68722308</v>
      </c>
      <c r="G26" s="107">
        <f t="shared" si="8"/>
        <v>564033656.42776406</v>
      </c>
      <c r="H26" s="107">
        <f t="shared" si="8"/>
        <v>568716059.27044594</v>
      </c>
      <c r="I26" s="107">
        <f t="shared" si="8"/>
        <v>573031462.57977188</v>
      </c>
      <c r="J26" s="107">
        <f t="shared" si="8"/>
        <v>580043335.59494007</v>
      </c>
      <c r="K26" s="107">
        <f t="shared" si="8"/>
        <v>581907678.76673794</v>
      </c>
      <c r="L26" s="107"/>
    </row>
    <row r="27" spans="1:12" x14ac:dyDescent="0.35">
      <c r="A27" s="107"/>
      <c r="B27" s="107"/>
      <c r="C27" s="107"/>
      <c r="D27" s="107"/>
      <c r="E27" s="107"/>
      <c r="F27" s="107"/>
      <c r="G27" s="107"/>
      <c r="H27" s="107"/>
      <c r="I27" s="107"/>
      <c r="J27" s="107"/>
      <c r="K27" s="107"/>
      <c r="L27" s="107"/>
    </row>
    <row r="28" spans="1:12" x14ac:dyDescent="0.35">
      <c r="A28" s="107" t="s">
        <v>222</v>
      </c>
      <c r="B28" s="107">
        <f>B23-B25</f>
        <v>0</v>
      </c>
      <c r="C28" s="107">
        <f>C23-C25</f>
        <v>46803407.122400045</v>
      </c>
      <c r="D28" s="107">
        <f>D23-D25</f>
        <v>36224368.340550065</v>
      </c>
      <c r="E28" s="107">
        <f t="shared" ref="E28:K28" si="9">E23-E25</f>
        <v>33612433.334967613</v>
      </c>
      <c r="F28" s="107">
        <f t="shared" si="9"/>
        <v>31011841.736682057</v>
      </c>
      <c r="G28" s="107">
        <f t="shared" si="9"/>
        <v>41111133.561247468</v>
      </c>
      <c r="H28" s="107">
        <f t="shared" si="9"/>
        <v>52823340.546495199</v>
      </c>
      <c r="I28" s="107">
        <f t="shared" si="9"/>
        <v>66933977.020276785</v>
      </c>
      <c r="J28" s="107">
        <f t="shared" si="9"/>
        <v>79472772.208032727</v>
      </c>
      <c r="K28" s="107">
        <f t="shared" si="9"/>
        <v>98984524.033643246</v>
      </c>
      <c r="L28" s="107"/>
    </row>
    <row r="29" spans="1:12" x14ac:dyDescent="0.35">
      <c r="A29" s="107" t="s">
        <v>223</v>
      </c>
      <c r="B29" s="107">
        <f>B24-B26</f>
        <v>0</v>
      </c>
      <c r="C29" s="107">
        <f>C28*C22</f>
        <v>44154157.662641548</v>
      </c>
      <c r="D29" s="107">
        <f t="shared" ref="D29:K29" si="10">D28*D22</f>
        <v>32239558.864854094</v>
      </c>
      <c r="E29" s="107">
        <f t="shared" si="10"/>
        <v>28221647.17767654</v>
      </c>
      <c r="F29" s="107">
        <f t="shared" si="10"/>
        <v>24564283.324966226</v>
      </c>
      <c r="G29" s="107">
        <f t="shared" si="10"/>
        <v>30720630.549430214</v>
      </c>
      <c r="H29" s="107">
        <f t="shared" si="10"/>
        <v>37238370.699486323</v>
      </c>
      <c r="I29" s="107">
        <f t="shared" si="10"/>
        <v>44514917.560369052</v>
      </c>
      <c r="J29" s="107">
        <f t="shared" si="10"/>
        <v>49862200.468150616</v>
      </c>
      <c r="K29" s="107">
        <f t="shared" si="10"/>
        <v>58588787.688764267</v>
      </c>
      <c r="L29" s="107">
        <f>SUM(B29:K29)</f>
        <v>350104553.9963389</v>
      </c>
    </row>
    <row r="30" spans="1:12" x14ac:dyDescent="0.35">
      <c r="C30" s="87"/>
      <c r="D30" s="87"/>
      <c r="E30" s="87"/>
      <c r="F30" s="87"/>
      <c r="G30" s="87"/>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x14ac:dyDescent="0.35">
      <c r="A3" t="s">
        <v>224</v>
      </c>
      <c r="B3" s="2">
        <f>'Ann 4'!C23/100000</f>
        <v>5867.4</v>
      </c>
      <c r="C3" s="2">
        <f>'Ann 4'!D23/100000</f>
        <v>6278.1180000000004</v>
      </c>
      <c r="D3" s="2">
        <f>'Ann 4'!E23/100000</f>
        <v>6717.58626</v>
      </c>
      <c r="E3" s="2">
        <f>'Ann 4'!F23/100000</f>
        <v>7187.8172982000006</v>
      </c>
      <c r="F3" s="2">
        <f>'Ann 4'!G23/100000</f>
        <v>7690.9645090740014</v>
      </c>
      <c r="G3" s="2">
        <f>'Ann 4'!H23/100000</f>
        <v>8229.3320247091815</v>
      </c>
      <c r="H3" s="2">
        <f>'Ann 4'!I23/100000</f>
        <v>8805.3852664388251</v>
      </c>
      <c r="I3" s="2">
        <f>'Ann 4'!J23/100000</f>
        <v>9421.7622350895435</v>
      </c>
      <c r="J3" s="2">
        <f>'Ann 4'!K23/100000</f>
        <v>10081.285591545811</v>
      </c>
    </row>
    <row r="4" spans="1:10" x14ac:dyDescent="0.35">
      <c r="A4" t="s">
        <v>225</v>
      </c>
      <c r="B4" s="2">
        <f>'Ann 4'!C22/100000</f>
        <v>5766.8696</v>
      </c>
      <c r="C4" s="2">
        <f>'Ann 4'!D22/100000</f>
        <v>6177.3289160000004</v>
      </c>
      <c r="D4" s="2">
        <f>'Ann 4'!E22/100000</f>
        <v>6588.1844627600003</v>
      </c>
      <c r="E4" s="2">
        <f>'Ann 4'!F22/100000</f>
        <v>6999.462514151599</v>
      </c>
      <c r="F4" s="2">
        <f>'Ann 4'!G22/100000</f>
        <v>7556.1271029805157</v>
      </c>
      <c r="G4" s="2">
        <f>'Ann 4'!H22/100000</f>
        <v>7978.3881396727538</v>
      </c>
      <c r="H4" s="2">
        <f>'Ann 4'!I22/100000</f>
        <v>8399.1615390212155</v>
      </c>
      <c r="I4" s="2">
        <f>'Ann 4'!J22/100000</f>
        <v>8346.6192838125698</v>
      </c>
      <c r="J4" s="2">
        <f>'Ann 4'!K22/100000</f>
        <v>8334.8695309882696</v>
      </c>
    </row>
    <row r="5" spans="1:10" x14ac:dyDescent="0.35">
      <c r="A5" t="s">
        <v>226</v>
      </c>
      <c r="B5" s="2">
        <f>B3-B4</f>
        <v>100.53039999999964</v>
      </c>
      <c r="C5" s="2">
        <f t="shared" ref="C5:J5" si="0">C3-C4</f>
        <v>100.789084</v>
      </c>
      <c r="D5" s="2">
        <f t="shared" si="0"/>
        <v>129.40179723999972</v>
      </c>
      <c r="E5" s="2">
        <f t="shared" si="0"/>
        <v>188.3547840484016</v>
      </c>
      <c r="F5" s="2">
        <f t="shared" si="0"/>
        <v>134.8374060934857</v>
      </c>
      <c r="G5" s="2">
        <f t="shared" si="0"/>
        <v>250.94388503642767</v>
      </c>
      <c r="H5" s="2">
        <f t="shared" si="0"/>
        <v>406.22372741760955</v>
      </c>
      <c r="I5" s="2">
        <f t="shared" si="0"/>
        <v>1075.1429512769737</v>
      </c>
      <c r="J5" s="2">
        <f t="shared" si="0"/>
        <v>1746.4160605575416</v>
      </c>
    </row>
    <row r="6" spans="1:10" x14ac:dyDescent="0.35">
      <c r="A6" t="s">
        <v>227</v>
      </c>
      <c r="B6" s="2">
        <f>B5</f>
        <v>100.53039999999964</v>
      </c>
      <c r="C6" s="2">
        <f t="shared" ref="C6:J6" si="1">C5</f>
        <v>100.789084</v>
      </c>
      <c r="D6" s="2">
        <f t="shared" si="1"/>
        <v>129.40179723999972</v>
      </c>
      <c r="E6" s="2">
        <f t="shared" si="1"/>
        <v>188.3547840484016</v>
      </c>
      <c r="F6" s="2">
        <f t="shared" si="1"/>
        <v>134.8374060934857</v>
      </c>
      <c r="G6" s="2">
        <f t="shared" si="1"/>
        <v>250.94388503642767</v>
      </c>
      <c r="H6" s="2">
        <f t="shared" si="1"/>
        <v>406.22372741760955</v>
      </c>
      <c r="I6" s="2">
        <f t="shared" si="1"/>
        <v>1075.1429512769737</v>
      </c>
      <c r="J6" s="2">
        <f t="shared" si="1"/>
        <v>1746.4160605575416</v>
      </c>
    </row>
    <row r="7" spans="1:10" x14ac:dyDescent="0.35">
      <c r="A7" t="s">
        <v>228</v>
      </c>
      <c r="B7" s="79">
        <f>'Ann 4'!C35/100000</f>
        <v>71.536976600000003</v>
      </c>
      <c r="C7" s="79">
        <f>'Ann 4'!D35/100000</f>
        <v>75.673828974999751</v>
      </c>
      <c r="D7" s="79">
        <f>'Ann 4'!E35/100000</f>
        <v>108.01036441374976</v>
      </c>
      <c r="E7" s="79">
        <f>'Ann 4'!F35/100000</f>
        <v>170.34709451308862</v>
      </c>
      <c r="F7" s="79">
        <f>'Ann 4'!G35/100000</f>
        <v>119.92194733526973</v>
      </c>
      <c r="G7" s="79">
        <f>'Ann 4'!H35/100000</f>
        <v>238.87067052056469</v>
      </c>
      <c r="H7" s="79">
        <f>'Ann 4'!I35/100000</f>
        <v>409.33682723138389</v>
      </c>
      <c r="I7" s="79">
        <f>'Ann 4'!J35/100000</f>
        <v>1067.6630837347138</v>
      </c>
      <c r="J7" s="79">
        <f>'Ann 4'!K35/100000</f>
        <v>1739.9282123217999</v>
      </c>
    </row>
    <row r="8" spans="1:10" x14ac:dyDescent="0.35">
      <c r="A8" t="s">
        <v>229</v>
      </c>
      <c r="B8" s="79">
        <f>'Ann 4'!C37/100000</f>
        <v>50.075883619999999</v>
      </c>
      <c r="C8" s="79">
        <f>'Ann 4'!D37/100000</f>
        <v>52.971680282499825</v>
      </c>
      <c r="D8" s="79">
        <f>'Ann 4'!E37/100000</f>
        <v>75.607255089624843</v>
      </c>
      <c r="E8" s="79">
        <f>'Ann 4'!F37/100000</f>
        <v>119.24296615916204</v>
      </c>
      <c r="F8" s="79">
        <f>'Ann 4'!G37/100000</f>
        <v>83.945363134688805</v>
      </c>
      <c r="G8" s="79">
        <f>'Ann 4'!H37/100000</f>
        <v>167.20946936439529</v>
      </c>
      <c r="H8" s="79">
        <f>'Ann 4'!I37/100000</f>
        <v>290.28577906196875</v>
      </c>
      <c r="I8" s="79">
        <f>'Ann 4'!J37/100000</f>
        <v>747.36415861429964</v>
      </c>
      <c r="J8" s="79">
        <f>'Ann 4'!K37/100000</f>
        <v>1217.9497486252601</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12"/>
  <sheetViews>
    <sheetView workbookViewId="0">
      <selection activeCell="A2" sqref="A2"/>
    </sheetView>
  </sheetViews>
  <sheetFormatPr defaultRowHeight="14.5" x14ac:dyDescent="0.35"/>
  <cols>
    <col min="2" max="2" width="84" bestFit="1" customWidth="1"/>
    <col min="3" max="3" width="12.36328125" bestFit="1" customWidth="1"/>
    <col min="4" max="12" width="12.54296875" bestFit="1" customWidth="1"/>
  </cols>
  <sheetData>
    <row r="1" spans="1:12" x14ac:dyDescent="0.35">
      <c r="A1" t="s">
        <v>252</v>
      </c>
      <c r="B1" t="s">
        <v>253</v>
      </c>
    </row>
    <row r="2" spans="1:12" x14ac:dyDescent="0.35">
      <c r="A2">
        <v>1</v>
      </c>
      <c r="B2" t="s">
        <v>288</v>
      </c>
    </row>
    <row r="3" spans="1:12" x14ac:dyDescent="0.35">
      <c r="A3">
        <v>2</v>
      </c>
      <c r="B3" t="s">
        <v>255</v>
      </c>
    </row>
    <row r="4" spans="1:12" x14ac:dyDescent="0.35">
      <c r="C4" t="s">
        <v>196</v>
      </c>
      <c r="D4">
        <v>125000</v>
      </c>
      <c r="E4">
        <f>D4*1.05</f>
        <v>131250</v>
      </c>
      <c r="F4">
        <f t="shared" ref="F4:J4" si="0">E4*1.05</f>
        <v>137812.5</v>
      </c>
      <c r="G4">
        <f t="shared" si="0"/>
        <v>144703.125</v>
      </c>
      <c r="H4">
        <f t="shared" si="0"/>
        <v>151938.28125</v>
      </c>
      <c r="I4">
        <f t="shared" si="0"/>
        <v>159535.1953125</v>
      </c>
      <c r="J4">
        <f t="shared" si="0"/>
        <v>167511.955078125</v>
      </c>
      <c r="K4">
        <f>J4</f>
        <v>167511.955078125</v>
      </c>
      <c r="L4">
        <f>K4</f>
        <v>167511.955078125</v>
      </c>
    </row>
    <row r="5" spans="1:12" x14ac:dyDescent="0.35">
      <c r="C5" t="s">
        <v>73</v>
      </c>
      <c r="D5">
        <f>D4*12</f>
        <v>1500000</v>
      </c>
      <c r="E5">
        <f t="shared" ref="E5:L5" si="1">E4*12</f>
        <v>1575000</v>
      </c>
      <c r="F5">
        <f t="shared" si="1"/>
        <v>1653750</v>
      </c>
      <c r="G5">
        <f t="shared" si="1"/>
        <v>1736437.5</v>
      </c>
      <c r="H5">
        <f t="shared" si="1"/>
        <v>1823259.375</v>
      </c>
      <c r="I5">
        <f t="shared" si="1"/>
        <v>1914422.34375</v>
      </c>
      <c r="J5">
        <f t="shared" si="1"/>
        <v>2010143.4609375</v>
      </c>
      <c r="K5">
        <f t="shared" si="1"/>
        <v>2010143.4609375</v>
      </c>
      <c r="L5">
        <f t="shared" si="1"/>
        <v>2010143.4609375</v>
      </c>
    </row>
    <row r="6" spans="1:12" x14ac:dyDescent="0.35">
      <c r="A6">
        <v>3</v>
      </c>
      <c r="B6" t="s">
        <v>293</v>
      </c>
    </row>
    <row r="7" spans="1:12" x14ac:dyDescent="0.35">
      <c r="A7">
        <v>4</v>
      </c>
      <c r="B7" t="s">
        <v>261</v>
      </c>
    </row>
    <row r="8" spans="1:12" x14ac:dyDescent="0.35">
      <c r="A8">
        <v>5</v>
      </c>
      <c r="B8" t="s">
        <v>254</v>
      </c>
    </row>
    <row r="9" spans="1:12" x14ac:dyDescent="0.35">
      <c r="A9">
        <v>6</v>
      </c>
      <c r="B9" t="s">
        <v>289</v>
      </c>
    </row>
    <row r="10" spans="1:12" x14ac:dyDescent="0.35">
      <c r="A10">
        <v>7</v>
      </c>
      <c r="B10" t="s">
        <v>290</v>
      </c>
    </row>
    <row r="11" spans="1:12" x14ac:dyDescent="0.35">
      <c r="A11">
        <v>8</v>
      </c>
      <c r="B11" t="s">
        <v>291</v>
      </c>
    </row>
    <row r="12" spans="1:12" ht="43.5" x14ac:dyDescent="0.35">
      <c r="A12">
        <v>9</v>
      </c>
      <c r="B12" s="100" t="s">
        <v>292</v>
      </c>
    </row>
  </sheetData>
  <pageMargins left="0.7" right="0.7" top="0.75" bottom="0.75" header="0.3" footer="0.3"/>
  <pageSetup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148</v>
      </c>
    </row>
    <row r="2" spans="1:11" x14ac:dyDescent="0.35">
      <c r="C2" t="s">
        <v>39</v>
      </c>
      <c r="D2" t="s">
        <v>40</v>
      </c>
      <c r="E2" t="s">
        <v>41</v>
      </c>
      <c r="F2" t="s">
        <v>42</v>
      </c>
      <c r="G2" t="s">
        <v>43</v>
      </c>
      <c r="H2" t="s">
        <v>44</v>
      </c>
      <c r="I2" t="s">
        <v>45</v>
      </c>
      <c r="J2" t="s">
        <v>46</v>
      </c>
      <c r="K2" t="s">
        <v>47</v>
      </c>
    </row>
    <row r="3" spans="1:11" x14ac:dyDescent="0.35">
      <c r="A3" t="s">
        <v>149</v>
      </c>
      <c r="C3">
        <f>'Ann 4'!C23/300*270</f>
        <v>528066000</v>
      </c>
      <c r="D3">
        <f>'Ann 4'!D23/300*270</f>
        <v>565030620</v>
      </c>
      <c r="E3">
        <f>'Ann 4'!E23/300*270</f>
        <v>604582763.39999998</v>
      </c>
      <c r="F3">
        <f>'Ann 4'!F23/300*270</f>
        <v>646903556.83800006</v>
      </c>
      <c r="G3">
        <f>'Ann 4'!G23/300*270</f>
        <v>692186805.81666017</v>
      </c>
      <c r="H3">
        <f>'Ann 4'!H23/300*270</f>
        <v>740639882.22382641</v>
      </c>
      <c r="I3">
        <f>'Ann 4'!I23/300*270</f>
        <v>792484673.97949433</v>
      </c>
      <c r="J3">
        <f>'Ann 4'!J23/300*270</f>
        <v>847958601.15805876</v>
      </c>
      <c r="K3">
        <f>'Ann 4'!K23/300*270</f>
        <v>907315703.23912311</v>
      </c>
    </row>
    <row r="4" spans="1:11" x14ac:dyDescent="0.35">
      <c r="A4" t="s">
        <v>150</v>
      </c>
      <c r="C4">
        <v>5000000</v>
      </c>
    </row>
    <row r="5" spans="1:11" x14ac:dyDescent="0.35">
      <c r="A5" t="s">
        <v>151</v>
      </c>
      <c r="C5">
        <v>21492978</v>
      </c>
    </row>
    <row r="7" spans="1:11" x14ac:dyDescent="0.35">
      <c r="A7" t="s">
        <v>152</v>
      </c>
      <c r="C7">
        <f>'Ann 3'!G20</f>
        <v>15584035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dimension ref="A1:C42"/>
  <sheetViews>
    <sheetView workbookViewId="0">
      <selection activeCell="A2" sqref="A2"/>
    </sheetView>
  </sheetViews>
  <sheetFormatPr defaultRowHeight="14.5" x14ac:dyDescent="0.35"/>
  <cols>
    <col min="2" max="2" width="44.90625" customWidth="1"/>
    <col min="3" max="3" width="13.26953125" customWidth="1"/>
  </cols>
  <sheetData>
    <row r="1" spans="1:3" x14ac:dyDescent="0.35">
      <c r="A1" s="22" t="s">
        <v>306</v>
      </c>
    </row>
    <row r="3" spans="1:3" x14ac:dyDescent="0.35">
      <c r="A3" s="22" t="s">
        <v>0</v>
      </c>
    </row>
    <row r="5" spans="1:3" x14ac:dyDescent="0.35">
      <c r="A5" s="31" t="s">
        <v>1</v>
      </c>
      <c r="B5" s="32"/>
      <c r="C5" s="33"/>
    </row>
    <row r="6" spans="1:3" ht="29" x14ac:dyDescent="0.35">
      <c r="A6" s="34" t="s">
        <v>2</v>
      </c>
      <c r="B6" s="34" t="s">
        <v>3</v>
      </c>
      <c r="C6" s="35" t="s">
        <v>4</v>
      </c>
    </row>
    <row r="7" spans="1:3" x14ac:dyDescent="0.35">
      <c r="A7" s="7">
        <v>1</v>
      </c>
      <c r="B7" s="9" t="s">
        <v>6</v>
      </c>
      <c r="C7" s="6"/>
    </row>
    <row r="8" spans="1:3" x14ac:dyDescent="0.35">
      <c r="A8" s="7" t="s">
        <v>5</v>
      </c>
      <c r="B8" s="9" t="s">
        <v>7</v>
      </c>
      <c r="C8" s="66">
        <v>0</v>
      </c>
    </row>
    <row r="9" spans="1:3" x14ac:dyDescent="0.35">
      <c r="A9" s="7"/>
      <c r="B9" s="9" t="s">
        <v>8</v>
      </c>
      <c r="C9" s="66">
        <f>SUM(C8)</f>
        <v>0</v>
      </c>
    </row>
    <row r="10" spans="1:3" x14ac:dyDescent="0.35">
      <c r="A10" s="7"/>
      <c r="B10" s="9"/>
      <c r="C10" s="6"/>
    </row>
    <row r="11" spans="1:3" x14ac:dyDescent="0.35">
      <c r="A11" s="7">
        <v>2</v>
      </c>
      <c r="B11" s="9" t="s">
        <v>175</v>
      </c>
      <c r="C11" s="66">
        <f>5434316/100000</f>
        <v>54.343159999999997</v>
      </c>
    </row>
    <row r="12" spans="1:3" x14ac:dyDescent="0.35">
      <c r="A12" s="7" t="s">
        <v>5</v>
      </c>
      <c r="B12" s="9" t="s">
        <v>8</v>
      </c>
      <c r="C12" s="66">
        <f>C11</f>
        <v>54.343159999999997</v>
      </c>
    </row>
    <row r="13" spans="1:3" x14ac:dyDescent="0.35">
      <c r="A13" s="7"/>
      <c r="B13" s="9"/>
      <c r="C13" s="6"/>
    </row>
    <row r="14" spans="1:3" x14ac:dyDescent="0.35">
      <c r="A14" s="7">
        <v>3</v>
      </c>
      <c r="B14" s="9" t="s">
        <v>9</v>
      </c>
      <c r="C14" s="6"/>
    </row>
    <row r="15" spans="1:3" x14ac:dyDescent="0.35">
      <c r="A15" s="7" t="s">
        <v>5</v>
      </c>
      <c r="B15" s="9" t="s">
        <v>9</v>
      </c>
      <c r="C15" s="26"/>
    </row>
    <row r="16" spans="1:3" x14ac:dyDescent="0.35">
      <c r="A16" s="7"/>
      <c r="B16" s="9" t="s">
        <v>8</v>
      </c>
      <c r="C16" s="26">
        <f>C15</f>
        <v>0</v>
      </c>
    </row>
    <row r="17" spans="1:3" x14ac:dyDescent="0.35">
      <c r="A17" s="7"/>
      <c r="B17" s="9"/>
      <c r="C17" s="6"/>
    </row>
    <row r="18" spans="1:3" x14ac:dyDescent="0.35">
      <c r="A18" s="7">
        <v>4</v>
      </c>
      <c r="B18" s="9" t="s">
        <v>10</v>
      </c>
      <c r="C18" s="6"/>
    </row>
    <row r="19" spans="1:3" x14ac:dyDescent="0.35">
      <c r="A19" s="7" t="s">
        <v>5</v>
      </c>
      <c r="B19" s="9" t="s">
        <v>11</v>
      </c>
      <c r="C19" s="26">
        <f>'Ann 3'!G18/100000</f>
        <v>101.49719</v>
      </c>
    </row>
    <row r="20" spans="1:3" x14ac:dyDescent="0.35">
      <c r="A20" s="7"/>
      <c r="B20" s="9" t="s">
        <v>8</v>
      </c>
      <c r="C20" s="27">
        <f>C19</f>
        <v>101.49719</v>
      </c>
    </row>
    <row r="21" spans="1:3" x14ac:dyDescent="0.35">
      <c r="A21" s="7"/>
      <c r="B21" s="9"/>
      <c r="C21" s="6"/>
    </row>
    <row r="22" spans="1:3" x14ac:dyDescent="0.35">
      <c r="A22" s="7">
        <v>5</v>
      </c>
      <c r="B22" s="9" t="s">
        <v>12</v>
      </c>
      <c r="C22" s="6"/>
    </row>
    <row r="23" spans="1:3" x14ac:dyDescent="0.35">
      <c r="A23" s="7" t="s">
        <v>5</v>
      </c>
      <c r="B23" s="9" t="s">
        <v>13</v>
      </c>
      <c r="C23" s="66">
        <v>0</v>
      </c>
    </row>
    <row r="24" spans="1:3" x14ac:dyDescent="0.35">
      <c r="A24" s="7"/>
      <c r="B24" s="9"/>
      <c r="C24" s="66"/>
    </row>
    <row r="25" spans="1:3" x14ac:dyDescent="0.35">
      <c r="A25" s="7">
        <v>6</v>
      </c>
      <c r="B25" s="9" t="s">
        <v>14</v>
      </c>
      <c r="C25" s="66">
        <v>0</v>
      </c>
    </row>
    <row r="26" spans="1:3" x14ac:dyDescent="0.35">
      <c r="A26" s="7"/>
      <c r="B26" s="9"/>
      <c r="C26" s="66"/>
    </row>
    <row r="27" spans="1:3" x14ac:dyDescent="0.35">
      <c r="A27" s="7">
        <v>7</v>
      </c>
      <c r="B27" s="9" t="s">
        <v>15</v>
      </c>
      <c r="C27" s="66"/>
    </row>
    <row r="28" spans="1:3" x14ac:dyDescent="0.35">
      <c r="A28" s="7" t="s">
        <v>5</v>
      </c>
      <c r="B28" s="9" t="s">
        <v>16</v>
      </c>
      <c r="C28" s="66">
        <v>0</v>
      </c>
    </row>
    <row r="29" spans="1:3" x14ac:dyDescent="0.35">
      <c r="A29" s="7"/>
      <c r="B29" s="9" t="s">
        <v>8</v>
      </c>
      <c r="C29" s="66"/>
    </row>
    <row r="30" spans="1:3" x14ac:dyDescent="0.35">
      <c r="A30" s="7"/>
      <c r="B30" s="9"/>
      <c r="C30" s="66"/>
    </row>
    <row r="31" spans="1:3" x14ac:dyDescent="0.35">
      <c r="A31" s="7">
        <v>8</v>
      </c>
      <c r="B31" s="9" t="s">
        <v>17</v>
      </c>
      <c r="C31" s="6"/>
    </row>
    <row r="32" spans="1:3" ht="29" x14ac:dyDescent="0.35">
      <c r="A32" s="7"/>
      <c r="B32" s="10" t="s">
        <v>18</v>
      </c>
      <c r="C32" s="6"/>
    </row>
    <row r="33" spans="1:3" x14ac:dyDescent="0.35">
      <c r="A33" s="7" t="s">
        <v>5</v>
      </c>
      <c r="B33" s="9" t="s">
        <v>19</v>
      </c>
      <c r="C33" s="66">
        <v>0</v>
      </c>
    </row>
    <row r="34" spans="1:3" x14ac:dyDescent="0.35">
      <c r="A34" s="7" t="s">
        <v>20</v>
      </c>
      <c r="B34" s="9" t="s">
        <v>21</v>
      </c>
      <c r="C34" s="66">
        <v>0</v>
      </c>
    </row>
    <row r="35" spans="1:3" x14ac:dyDescent="0.35">
      <c r="A35" s="7"/>
      <c r="B35" s="9" t="s">
        <v>8</v>
      </c>
      <c r="C35" s="66">
        <f>SUM(C33:C34)</f>
        <v>0</v>
      </c>
    </row>
    <row r="36" spans="1:3" x14ac:dyDescent="0.35">
      <c r="A36" s="7"/>
      <c r="B36" s="9"/>
      <c r="C36" s="66"/>
    </row>
    <row r="37" spans="1:3" x14ac:dyDescent="0.35">
      <c r="A37" s="7">
        <v>9</v>
      </c>
      <c r="B37" s="9" t="s">
        <v>174</v>
      </c>
      <c r="C37" s="66">
        <v>0</v>
      </c>
    </row>
    <row r="38" spans="1:3" x14ac:dyDescent="0.35">
      <c r="A38" s="7"/>
      <c r="B38" s="9"/>
      <c r="C38" s="6"/>
    </row>
    <row r="39" spans="1:3" x14ac:dyDescent="0.35">
      <c r="A39" s="8"/>
      <c r="B39" s="11" t="s">
        <v>22</v>
      </c>
      <c r="C39" s="28">
        <f>C35+C28+C25+C20+C16+C23+C37+C12</f>
        <v>155.84035</v>
      </c>
    </row>
    <row r="40" spans="1:3" x14ac:dyDescent="0.35">
      <c r="A40" s="1"/>
    </row>
    <row r="41" spans="1:3" x14ac:dyDescent="0.35">
      <c r="A41" s="1"/>
    </row>
    <row r="42" spans="1:3" x14ac:dyDescent="0.35">
      <c r="A42"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9"/>
  <sheetViews>
    <sheetView workbookViewId="0">
      <selection activeCell="F7" sqref="F7"/>
    </sheetView>
  </sheetViews>
  <sheetFormatPr defaultRowHeight="14.5" x14ac:dyDescent="0.35"/>
  <cols>
    <col min="2" max="2" width="22.08984375" customWidth="1"/>
    <col min="3" max="3" width="18.81640625" bestFit="1" customWidth="1"/>
  </cols>
  <sheetData>
    <row r="1" spans="1:4" x14ac:dyDescent="0.35">
      <c r="A1" s="22" t="s">
        <v>23</v>
      </c>
    </row>
    <row r="3" spans="1:4" x14ac:dyDescent="0.35">
      <c r="A3" s="36" t="s">
        <v>24</v>
      </c>
      <c r="B3" s="32" t="s">
        <v>25</v>
      </c>
      <c r="C3" s="33" t="s">
        <v>4</v>
      </c>
    </row>
    <row r="4" spans="1:4" x14ac:dyDescent="0.35">
      <c r="A4" s="14">
        <v>1</v>
      </c>
      <c r="B4" s="5" t="s">
        <v>26</v>
      </c>
      <c r="C4" s="102">
        <v>15.584035</v>
      </c>
      <c r="D4" s="42"/>
    </row>
    <row r="5" spans="1:4" x14ac:dyDescent="0.35">
      <c r="A5" s="14">
        <v>2</v>
      </c>
      <c r="B5" s="5" t="s">
        <v>27</v>
      </c>
      <c r="C5" s="102">
        <v>0</v>
      </c>
      <c r="D5" s="2"/>
    </row>
    <row r="6" spans="1:4" x14ac:dyDescent="0.35">
      <c r="A6" s="14">
        <v>3</v>
      </c>
      <c r="B6" s="5" t="s">
        <v>28</v>
      </c>
      <c r="C6" s="103">
        <f>C8-C4</f>
        <v>140.256315</v>
      </c>
      <c r="D6" s="42"/>
    </row>
    <row r="7" spans="1:4" x14ac:dyDescent="0.35">
      <c r="A7" s="14">
        <v>4</v>
      </c>
      <c r="B7" s="5" t="s">
        <v>29</v>
      </c>
      <c r="C7" s="66">
        <v>0</v>
      </c>
    </row>
    <row r="8" spans="1:4" x14ac:dyDescent="0.35">
      <c r="A8" s="13"/>
      <c r="B8" s="4" t="s">
        <v>8</v>
      </c>
      <c r="C8" s="37">
        <f>'Ann 1'!C39</f>
        <v>155.84035</v>
      </c>
    </row>
    <row r="9" spans="1:4" x14ac:dyDescent="0.35">
      <c r="C9" s="9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2"/>
  <sheetViews>
    <sheetView workbookViewId="0">
      <selection activeCell="A4" sqref="A4"/>
    </sheetView>
  </sheetViews>
  <sheetFormatPr defaultRowHeight="14.5" x14ac:dyDescent="0.35"/>
  <cols>
    <col min="1" max="1" width="3.6328125" customWidth="1"/>
    <col min="2" max="2" width="26.08984375" customWidth="1"/>
    <col min="4" max="4" width="12.7265625" bestFit="1" customWidth="1"/>
    <col min="6" max="6" width="10.54296875" customWidth="1"/>
    <col min="7" max="7" width="11.1796875" bestFit="1" customWidth="1"/>
    <col min="9" max="9" width="9.1796875" bestFit="1" customWidth="1"/>
  </cols>
  <sheetData>
    <row r="1" spans="1:7" x14ac:dyDescent="0.35">
      <c r="A1" s="22" t="s">
        <v>30</v>
      </c>
    </row>
    <row r="3" spans="1:7" x14ac:dyDescent="0.35">
      <c r="A3" s="36" t="s">
        <v>262</v>
      </c>
      <c r="B3" s="32"/>
      <c r="C3" s="32"/>
      <c r="D3" s="32"/>
      <c r="E3" s="32" t="s">
        <v>31</v>
      </c>
      <c r="F3" s="32"/>
      <c r="G3" s="78" t="s">
        <v>32</v>
      </c>
    </row>
    <row r="4" spans="1:7" x14ac:dyDescent="0.35">
      <c r="A4" s="43">
        <v>1</v>
      </c>
      <c r="B4" s="92" t="s">
        <v>263</v>
      </c>
      <c r="C4" s="45"/>
      <c r="D4" s="92"/>
      <c r="E4" s="92">
        <v>1</v>
      </c>
      <c r="F4" s="93"/>
      <c r="G4" s="94">
        <v>5434316</v>
      </c>
    </row>
    <row r="5" spans="1:7" x14ac:dyDescent="0.35">
      <c r="A5" s="19" t="s">
        <v>34</v>
      </c>
      <c r="B5" s="20"/>
      <c r="C5" s="20"/>
      <c r="D5" s="20"/>
      <c r="E5" s="20"/>
      <c r="F5" s="20"/>
      <c r="G5" s="21">
        <f>G4</f>
        <v>5434316</v>
      </c>
    </row>
    <row r="6" spans="1:7" x14ac:dyDescent="0.35">
      <c r="A6" s="13"/>
      <c r="B6" s="4"/>
      <c r="C6" s="4"/>
      <c r="D6" s="4"/>
      <c r="E6" s="4"/>
      <c r="F6" s="4"/>
      <c r="G6" s="99"/>
    </row>
    <row r="7" spans="1:7" x14ac:dyDescent="0.35">
      <c r="A7" s="36" t="s">
        <v>33</v>
      </c>
      <c r="B7" s="32"/>
      <c r="C7" s="32"/>
      <c r="D7" s="32"/>
      <c r="E7" s="32" t="s">
        <v>31</v>
      </c>
      <c r="F7" s="32"/>
      <c r="G7" s="78" t="s">
        <v>32</v>
      </c>
    </row>
    <row r="8" spans="1:7" x14ac:dyDescent="0.35">
      <c r="A8" s="43">
        <v>1</v>
      </c>
      <c r="B8" s="92" t="s">
        <v>264</v>
      </c>
      <c r="C8" s="45"/>
      <c r="D8" s="92"/>
      <c r="E8" s="92">
        <v>1</v>
      </c>
      <c r="F8" s="93"/>
      <c r="G8" s="94">
        <v>2601000</v>
      </c>
    </row>
    <row r="9" spans="1:7" x14ac:dyDescent="0.35">
      <c r="A9" s="14">
        <v>2</v>
      </c>
      <c r="B9" s="39" t="s">
        <v>267</v>
      </c>
      <c r="C9" s="5"/>
      <c r="D9" s="39"/>
      <c r="E9" s="39">
        <v>1</v>
      </c>
      <c r="F9" s="17"/>
      <c r="G9" s="95">
        <v>200000</v>
      </c>
    </row>
    <row r="10" spans="1:7" x14ac:dyDescent="0.35">
      <c r="A10" s="14">
        <v>3</v>
      </c>
      <c r="B10" s="39" t="s">
        <v>266</v>
      </c>
      <c r="C10" s="5"/>
      <c r="D10" s="39"/>
      <c r="E10" s="39">
        <v>1</v>
      </c>
      <c r="F10" s="17"/>
      <c r="G10" s="95">
        <v>1523320</v>
      </c>
    </row>
    <row r="11" spans="1:7" x14ac:dyDescent="0.35">
      <c r="A11" s="14">
        <v>4</v>
      </c>
      <c r="B11" s="39" t="s">
        <v>265</v>
      </c>
      <c r="C11" s="5"/>
      <c r="D11" s="39"/>
      <c r="E11" s="39">
        <v>1</v>
      </c>
      <c r="F11" s="17"/>
      <c r="G11" s="95">
        <v>640000</v>
      </c>
    </row>
    <row r="12" spans="1:7" x14ac:dyDescent="0.35">
      <c r="A12" s="14">
        <v>5</v>
      </c>
      <c r="B12" s="39" t="s">
        <v>268</v>
      </c>
      <c r="C12" s="5"/>
      <c r="D12" s="39"/>
      <c r="E12" s="39">
        <v>1</v>
      </c>
      <c r="F12" s="17"/>
      <c r="G12" s="95">
        <v>500000</v>
      </c>
    </row>
    <row r="13" spans="1:7" x14ac:dyDescent="0.35">
      <c r="A13" s="14">
        <v>6</v>
      </c>
      <c r="B13" s="39" t="s">
        <v>272</v>
      </c>
      <c r="C13" s="5"/>
      <c r="D13" s="39"/>
      <c r="E13" s="39">
        <v>1</v>
      </c>
      <c r="F13" s="17"/>
      <c r="G13" s="95">
        <v>988900</v>
      </c>
    </row>
    <row r="14" spans="1:7" x14ac:dyDescent="0.35">
      <c r="A14" s="14">
        <v>7</v>
      </c>
      <c r="B14" s="39" t="s">
        <v>269</v>
      </c>
      <c r="C14" s="5"/>
      <c r="D14" s="39"/>
      <c r="E14" s="39">
        <v>1</v>
      </c>
      <c r="F14" s="17"/>
      <c r="G14" s="95">
        <v>300000</v>
      </c>
    </row>
    <row r="15" spans="1:7" x14ac:dyDescent="0.35">
      <c r="A15" s="14">
        <v>8</v>
      </c>
      <c r="B15" s="39" t="s">
        <v>271</v>
      </c>
      <c r="C15" s="5"/>
      <c r="D15" s="39"/>
      <c r="E15" s="39">
        <v>1</v>
      </c>
      <c r="F15" s="17"/>
      <c r="G15" s="95">
        <v>596499</v>
      </c>
    </row>
    <row r="16" spans="1:7" x14ac:dyDescent="0.35">
      <c r="A16" s="14">
        <v>9</v>
      </c>
      <c r="B16" s="39" t="s">
        <v>270</v>
      </c>
      <c r="C16" s="5"/>
      <c r="D16" s="39"/>
      <c r="E16" s="39">
        <v>1</v>
      </c>
      <c r="F16" s="17"/>
      <c r="G16" s="95">
        <v>800000</v>
      </c>
    </row>
    <row r="17" spans="1:7" x14ac:dyDescent="0.35">
      <c r="A17" s="49">
        <v>10</v>
      </c>
      <c r="B17" s="96" t="s">
        <v>273</v>
      </c>
      <c r="C17" s="50"/>
      <c r="D17" s="96"/>
      <c r="E17" s="96">
        <v>1</v>
      </c>
      <c r="F17" s="97"/>
      <c r="G17" s="98">
        <v>2000000</v>
      </c>
    </row>
    <row r="18" spans="1:7" s="22" customFormat="1" x14ac:dyDescent="0.35">
      <c r="A18" s="19" t="s">
        <v>34</v>
      </c>
      <c r="B18" s="20"/>
      <c r="C18" s="20"/>
      <c r="D18" s="20"/>
      <c r="E18" s="20"/>
      <c r="F18" s="20"/>
      <c r="G18" s="21">
        <f>SUM(G8:G17)</f>
        <v>10149719</v>
      </c>
    </row>
    <row r="19" spans="1:7" x14ac:dyDescent="0.35">
      <c r="A19" s="14"/>
      <c r="B19" s="5"/>
      <c r="C19" s="5"/>
      <c r="D19" s="5"/>
      <c r="E19" s="5"/>
      <c r="F19" s="5"/>
      <c r="G19" s="6"/>
    </row>
    <row r="20" spans="1:7" s="22" customFormat="1" x14ac:dyDescent="0.35">
      <c r="A20" s="19" t="s">
        <v>35</v>
      </c>
      <c r="B20" s="20"/>
      <c r="C20" s="20"/>
      <c r="D20" s="20"/>
      <c r="E20" s="20"/>
      <c r="F20" s="20"/>
      <c r="G20" s="21">
        <f>G18+G5</f>
        <v>15584035</v>
      </c>
    </row>
    <row r="21" spans="1:7" x14ac:dyDescent="0.35">
      <c r="G21" s="24"/>
    </row>
    <row r="22" spans="1:7" x14ac:dyDescent="0.35">
      <c r="G22"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5"/>
  <sheetViews>
    <sheetView topLeftCell="C29" workbookViewId="0">
      <selection activeCell="J35" sqref="J35"/>
    </sheetView>
  </sheetViews>
  <sheetFormatPr defaultRowHeight="14.5" x14ac:dyDescent="0.35"/>
  <cols>
    <col min="2" max="2" width="55.7265625" bestFit="1" customWidth="1"/>
    <col min="3" max="11" width="15.6328125" bestFit="1" customWidth="1"/>
  </cols>
  <sheetData>
    <row r="1" spans="1:11" x14ac:dyDescent="0.35">
      <c r="A1" s="22" t="s">
        <v>36</v>
      </c>
    </row>
    <row r="3" spans="1:11" x14ac:dyDescent="0.35">
      <c r="A3" s="38" t="s">
        <v>37</v>
      </c>
      <c r="B3" s="38" t="s">
        <v>38</v>
      </c>
      <c r="C3" s="111" t="s">
        <v>48</v>
      </c>
      <c r="D3" s="111"/>
      <c r="E3" s="111"/>
      <c r="F3" s="111"/>
      <c r="G3" s="111"/>
      <c r="H3" s="111"/>
      <c r="I3" s="111"/>
      <c r="J3" s="111"/>
      <c r="K3" s="111"/>
    </row>
    <row r="4" spans="1:11" x14ac:dyDescent="0.35">
      <c r="A4" s="38"/>
      <c r="B4" s="38"/>
      <c r="C4" s="38" t="s">
        <v>39</v>
      </c>
      <c r="D4" s="38" t="s">
        <v>40</v>
      </c>
      <c r="E4" s="38" t="s">
        <v>41</v>
      </c>
      <c r="F4" s="38" t="s">
        <v>42</v>
      </c>
      <c r="G4" s="38" t="s">
        <v>43</v>
      </c>
      <c r="H4" s="38" t="s">
        <v>44</v>
      </c>
      <c r="I4" s="38" t="s">
        <v>45</v>
      </c>
      <c r="J4" s="38" t="s">
        <v>46</v>
      </c>
      <c r="K4" s="38" t="s">
        <v>47</v>
      </c>
    </row>
    <row r="5" spans="1:11" x14ac:dyDescent="0.35">
      <c r="A5" s="12"/>
      <c r="B5" s="12" t="s">
        <v>49</v>
      </c>
      <c r="C5" s="12">
        <v>12</v>
      </c>
      <c r="D5" s="12">
        <v>12</v>
      </c>
      <c r="E5" s="12">
        <v>12</v>
      </c>
      <c r="F5" s="12">
        <v>12</v>
      </c>
      <c r="G5" s="12">
        <v>12</v>
      </c>
      <c r="H5" s="12">
        <v>12</v>
      </c>
      <c r="I5" s="12">
        <v>12</v>
      </c>
      <c r="J5" s="12">
        <v>12</v>
      </c>
      <c r="K5" s="12">
        <v>12</v>
      </c>
    </row>
    <row r="6" spans="1:11" x14ac:dyDescent="0.35">
      <c r="A6" s="12"/>
      <c r="B6" s="12"/>
      <c r="C6" s="12"/>
      <c r="D6" s="12"/>
      <c r="E6" s="12"/>
      <c r="F6" s="12"/>
      <c r="G6" s="12"/>
      <c r="H6" s="12"/>
      <c r="I6" s="12"/>
      <c r="J6" s="12"/>
      <c r="K6" s="12"/>
    </row>
    <row r="7" spans="1:11" x14ac:dyDescent="0.35">
      <c r="A7" s="12"/>
      <c r="B7" s="12" t="s">
        <v>194</v>
      </c>
      <c r="C7" s="30">
        <f>Budgets!B5*2*Budgets!$D$18</f>
        <v>545160000</v>
      </c>
      <c r="D7" s="30">
        <f>Budgets!C5*2*Budgets!$D$18</f>
        <v>584100000</v>
      </c>
      <c r="E7" s="30">
        <f>Budgets!D5*2*Budgets!$D$18</f>
        <v>623040000</v>
      </c>
      <c r="F7" s="30">
        <f>Budgets!E5*2*Budgets!$D$18</f>
        <v>661980000</v>
      </c>
      <c r="G7" s="30">
        <f>Budgets!F5*2*Budgets!$D$18</f>
        <v>700920000</v>
      </c>
      <c r="H7" s="30">
        <f>Budgets!G5*2*Budgets!$D$18</f>
        <v>739860000</v>
      </c>
      <c r="I7" s="30">
        <f>Budgets!H5*2*Budgets!$D$18</f>
        <v>778800000</v>
      </c>
      <c r="J7" s="30">
        <f>Budgets!I5*2*Budgets!$D$18</f>
        <v>778800000</v>
      </c>
      <c r="K7" s="30">
        <f>Budgets!J5*2*Budgets!$D$18</f>
        <v>778800000</v>
      </c>
    </row>
    <row r="8" spans="1:11" x14ac:dyDescent="0.35">
      <c r="A8" s="12"/>
      <c r="B8" s="12" t="s">
        <v>195</v>
      </c>
      <c r="C8" s="30">
        <f>160000+C44</f>
        <v>1660000</v>
      </c>
      <c r="D8" s="30">
        <f t="shared" ref="D8:K8" si="0">160000+D44</f>
        <v>1735000</v>
      </c>
      <c r="E8" s="30">
        <f t="shared" si="0"/>
        <v>1813750</v>
      </c>
      <c r="F8" s="30">
        <f t="shared" si="0"/>
        <v>1896437.5</v>
      </c>
      <c r="G8" s="30">
        <f t="shared" si="0"/>
        <v>1983259.375</v>
      </c>
      <c r="H8" s="30">
        <f t="shared" si="0"/>
        <v>2074422.34375</v>
      </c>
      <c r="I8" s="30">
        <f t="shared" si="0"/>
        <v>2170143.4609375</v>
      </c>
      <c r="J8" s="30">
        <f t="shared" si="0"/>
        <v>2170143.4609375</v>
      </c>
      <c r="K8" s="30">
        <f t="shared" si="0"/>
        <v>2170143.4609375</v>
      </c>
    </row>
    <row r="9" spans="1:11" x14ac:dyDescent="0.35">
      <c r="A9" s="12"/>
      <c r="B9" s="12" t="s">
        <v>277</v>
      </c>
      <c r="C9" s="30">
        <f>C7*1.5%</f>
        <v>8177400</v>
      </c>
      <c r="D9" s="30">
        <f t="shared" ref="D9:K9" si="1">D7*1.5%</f>
        <v>8761500</v>
      </c>
      <c r="E9" s="30">
        <f t="shared" si="1"/>
        <v>9345600</v>
      </c>
      <c r="F9" s="30">
        <f t="shared" si="1"/>
        <v>9929700</v>
      </c>
      <c r="G9" s="30">
        <f t="shared" si="1"/>
        <v>10513800</v>
      </c>
      <c r="H9" s="30">
        <f t="shared" si="1"/>
        <v>11097900</v>
      </c>
      <c r="I9" s="30">
        <f t="shared" si="1"/>
        <v>11682000</v>
      </c>
      <c r="J9" s="30">
        <f t="shared" si="1"/>
        <v>11682000</v>
      </c>
      <c r="K9" s="30">
        <f t="shared" si="1"/>
        <v>11682000</v>
      </c>
    </row>
    <row r="10" spans="1:11" x14ac:dyDescent="0.35">
      <c r="A10" s="12"/>
      <c r="B10" s="12" t="s">
        <v>197</v>
      </c>
      <c r="C10" s="30">
        <f>SUM(C7:C9)</f>
        <v>554997400</v>
      </c>
      <c r="D10" s="30">
        <f t="shared" ref="D10:K10" si="2">SUM(D7:D9)</f>
        <v>594596500</v>
      </c>
      <c r="E10" s="30">
        <f t="shared" si="2"/>
        <v>634199350</v>
      </c>
      <c r="F10" s="30">
        <f t="shared" si="2"/>
        <v>673806137.5</v>
      </c>
      <c r="G10" s="30">
        <f t="shared" si="2"/>
        <v>713417059.375</v>
      </c>
      <c r="H10" s="30">
        <f t="shared" si="2"/>
        <v>753032322.34375</v>
      </c>
      <c r="I10" s="30">
        <f t="shared" si="2"/>
        <v>792652143.4609375</v>
      </c>
      <c r="J10" s="30">
        <f t="shared" si="2"/>
        <v>792652143.4609375</v>
      </c>
      <c r="K10" s="30">
        <f t="shared" si="2"/>
        <v>792652143.4609375</v>
      </c>
    </row>
    <row r="11" spans="1:11" x14ac:dyDescent="0.35">
      <c r="A11" s="12"/>
      <c r="B11" s="12" t="s">
        <v>198</v>
      </c>
      <c r="C11" s="30">
        <v>0</v>
      </c>
      <c r="D11" s="30">
        <f>C12</f>
        <v>5544000</v>
      </c>
      <c r="E11" s="30">
        <f t="shared" ref="E11:K11" si="3">D12</f>
        <v>11484000</v>
      </c>
      <c r="F11" s="30">
        <f t="shared" si="3"/>
        <v>17820000</v>
      </c>
      <c r="G11" s="30">
        <f t="shared" si="3"/>
        <v>24552000</v>
      </c>
      <c r="H11" s="30">
        <f t="shared" si="3"/>
        <v>17424000</v>
      </c>
      <c r="I11" s="30">
        <f t="shared" si="3"/>
        <v>9900000</v>
      </c>
      <c r="J11" s="30">
        <f t="shared" si="3"/>
        <v>1980000</v>
      </c>
      <c r="K11" s="30">
        <f t="shared" si="3"/>
        <v>0</v>
      </c>
    </row>
    <row r="12" spans="1:11" x14ac:dyDescent="0.35">
      <c r="A12" s="12"/>
      <c r="B12" s="12" t="s">
        <v>199</v>
      </c>
      <c r="C12" s="30">
        <f>Budgets!B26*120</f>
        <v>5544000</v>
      </c>
      <c r="D12" s="30">
        <f>Budgets!C26*120</f>
        <v>11484000</v>
      </c>
      <c r="E12" s="30">
        <f>Budgets!D26*120</f>
        <v>17820000</v>
      </c>
      <c r="F12" s="30">
        <f>Budgets!E26*120</f>
        <v>24552000</v>
      </c>
      <c r="G12" s="30">
        <f>Budgets!F26*120</f>
        <v>17424000</v>
      </c>
      <c r="H12" s="30">
        <f>Budgets!G26*120</f>
        <v>9900000</v>
      </c>
      <c r="I12" s="30">
        <f>Budgets!H26*120</f>
        <v>1980000</v>
      </c>
      <c r="J12" s="30">
        <f>Budgets!I26*120</f>
        <v>0</v>
      </c>
      <c r="K12" s="30">
        <f>Budgets!J26*120</f>
        <v>0</v>
      </c>
    </row>
    <row r="13" spans="1:11" x14ac:dyDescent="0.35">
      <c r="A13" s="12"/>
      <c r="B13" s="12" t="s">
        <v>201</v>
      </c>
      <c r="C13" s="30">
        <f>C10+C11-C12</f>
        <v>549453400</v>
      </c>
      <c r="D13" s="30">
        <f t="shared" ref="D13:K13" si="4">D10+D11-D12</f>
        <v>588656500</v>
      </c>
      <c r="E13" s="30">
        <f t="shared" si="4"/>
        <v>627863350</v>
      </c>
      <c r="F13" s="30">
        <f t="shared" si="4"/>
        <v>667074137.5</v>
      </c>
      <c r="G13" s="30">
        <f t="shared" si="4"/>
        <v>720545059.375</v>
      </c>
      <c r="H13" s="30">
        <f t="shared" si="4"/>
        <v>760556322.34375</v>
      </c>
      <c r="I13" s="30">
        <f t="shared" si="4"/>
        <v>800572143.4609375</v>
      </c>
      <c r="J13" s="30">
        <f t="shared" si="4"/>
        <v>794632143.4609375</v>
      </c>
      <c r="K13" s="30">
        <f t="shared" si="4"/>
        <v>792652143.4609375</v>
      </c>
    </row>
    <row r="14" spans="1:11" x14ac:dyDescent="0.35">
      <c r="A14" s="12"/>
      <c r="B14" s="12"/>
      <c r="C14" s="30"/>
      <c r="D14" s="30"/>
      <c r="E14" s="30"/>
      <c r="F14" s="30"/>
      <c r="G14" s="30"/>
      <c r="H14" s="30"/>
      <c r="I14" s="30"/>
      <c r="J14" s="30"/>
      <c r="K14" s="30"/>
    </row>
    <row r="15" spans="1:11" x14ac:dyDescent="0.35">
      <c r="A15" s="12"/>
      <c r="B15" s="12"/>
      <c r="C15" s="30"/>
      <c r="D15" s="30"/>
      <c r="E15" s="30"/>
      <c r="F15" s="30"/>
      <c r="G15" s="30"/>
      <c r="H15" s="30"/>
      <c r="I15" s="30"/>
      <c r="J15" s="30"/>
      <c r="K15" s="30"/>
    </row>
    <row r="16" spans="1:11" x14ac:dyDescent="0.35">
      <c r="A16" s="12"/>
      <c r="B16" s="12" t="s">
        <v>51</v>
      </c>
      <c r="C16" s="30">
        <f>'Ann 8'!E13</f>
        <v>1978560</v>
      </c>
      <c r="D16" s="30">
        <f>1.06*C16</f>
        <v>2097273.6</v>
      </c>
      <c r="E16" s="30">
        <f t="shared" ref="E16:K16" si="5">1.06*D16</f>
        <v>2223110.0160000003</v>
      </c>
      <c r="F16" s="30">
        <f t="shared" si="5"/>
        <v>2356496.6169600002</v>
      </c>
      <c r="G16" s="30">
        <f t="shared" si="5"/>
        <v>2497886.4139776002</v>
      </c>
      <c r="H16" s="30">
        <f t="shared" si="5"/>
        <v>2647759.5988162565</v>
      </c>
      <c r="I16" s="30">
        <f t="shared" si="5"/>
        <v>2806625.1747452319</v>
      </c>
      <c r="J16" s="30">
        <f t="shared" si="5"/>
        <v>2975022.6852299459</v>
      </c>
      <c r="K16" s="30">
        <f t="shared" si="5"/>
        <v>3153524.0463437429</v>
      </c>
    </row>
    <row r="17" spans="1:11" x14ac:dyDescent="0.35">
      <c r="A17" s="12"/>
      <c r="B17" s="12" t="s">
        <v>279</v>
      </c>
      <c r="C17" s="30">
        <f>1000000+(C23*1%)</f>
        <v>6867400</v>
      </c>
      <c r="D17" s="30">
        <f t="shared" ref="D17:G17" si="6">1000000+(D23*1%)</f>
        <v>7278118</v>
      </c>
      <c r="E17" s="30">
        <f t="shared" si="6"/>
        <v>7717586.2599999998</v>
      </c>
      <c r="F17" s="30">
        <f t="shared" si="6"/>
        <v>8187817.298200001</v>
      </c>
      <c r="G17" s="30">
        <f t="shared" si="6"/>
        <v>8690964.5090740025</v>
      </c>
      <c r="H17" s="30">
        <f>(1000000*1.2)+(H23*1%)</f>
        <v>9429332.0247091819</v>
      </c>
      <c r="I17" s="30">
        <f t="shared" ref="I17:K17" si="7">(1000000*1.2)+(I23*1%)</f>
        <v>10005385.266438825</v>
      </c>
      <c r="J17" s="30">
        <f t="shared" si="7"/>
        <v>10621762.235089542</v>
      </c>
      <c r="K17" s="30">
        <f t="shared" si="7"/>
        <v>11281285.591545813</v>
      </c>
    </row>
    <row r="18" spans="1:11" x14ac:dyDescent="0.35">
      <c r="A18" s="12"/>
      <c r="B18" s="12" t="s">
        <v>294</v>
      </c>
      <c r="C18" s="30">
        <f>2*Budgets!B5</f>
        <v>9240000</v>
      </c>
      <c r="D18" s="30">
        <f>2*Budgets!C5</f>
        <v>9900000</v>
      </c>
      <c r="E18" s="30">
        <f>2*Budgets!D5</f>
        <v>10560000</v>
      </c>
      <c r="F18" s="30">
        <f>2*Budgets!E5</f>
        <v>11220000</v>
      </c>
      <c r="G18" s="30">
        <f>2*Budgets!F5</f>
        <v>11880000</v>
      </c>
      <c r="H18" s="30">
        <f>2*Budgets!G5</f>
        <v>12540000</v>
      </c>
      <c r="I18" s="30">
        <f>2*Budgets!H5</f>
        <v>13200000</v>
      </c>
      <c r="J18" s="30">
        <f>2*Budgets!I5</f>
        <v>13200000</v>
      </c>
      <c r="K18" s="30">
        <f>2*Budgets!J5</f>
        <v>13200000</v>
      </c>
    </row>
    <row r="19" spans="1:11" x14ac:dyDescent="0.35">
      <c r="A19" s="12"/>
      <c r="B19" s="12" t="s">
        <v>282</v>
      </c>
      <c r="C19" s="30">
        <f>Budgets!B6*2</f>
        <v>9147600</v>
      </c>
      <c r="D19" s="30">
        <f>Budgets!C6*2</f>
        <v>9801000</v>
      </c>
      <c r="E19" s="30">
        <f>Budgets!D6*2</f>
        <v>10454400</v>
      </c>
      <c r="F19" s="30">
        <f>Budgets!E6*2</f>
        <v>11107800</v>
      </c>
      <c r="G19" s="30">
        <f>Budgets!F6*2</f>
        <v>11998800</v>
      </c>
      <c r="H19" s="30">
        <f>Budgets!G6*2</f>
        <v>12665400</v>
      </c>
      <c r="I19" s="30">
        <f>Budgets!H6*2</f>
        <v>13332000</v>
      </c>
      <c r="J19" s="30">
        <f>Budgets!I6*2</f>
        <v>13233000</v>
      </c>
      <c r="K19" s="30">
        <f>Budgets!J6*2</f>
        <v>13200000</v>
      </c>
    </row>
    <row r="20" spans="1:11" x14ac:dyDescent="0.35">
      <c r="A20" s="12"/>
      <c r="B20" s="12" t="s">
        <v>8</v>
      </c>
      <c r="C20" s="30">
        <f t="shared" ref="C20:K20" si="8">SUM(C16:C19)</f>
        <v>27233560</v>
      </c>
      <c r="D20" s="30">
        <f t="shared" si="8"/>
        <v>29076391.600000001</v>
      </c>
      <c r="E20" s="30">
        <f t="shared" si="8"/>
        <v>30955096.276000001</v>
      </c>
      <c r="F20" s="30">
        <f t="shared" si="8"/>
        <v>32872113.91516</v>
      </c>
      <c r="G20" s="30">
        <f t="shared" si="8"/>
        <v>35067650.923051603</v>
      </c>
      <c r="H20" s="30">
        <f t="shared" si="8"/>
        <v>37282491.623525441</v>
      </c>
      <c r="I20" s="30">
        <f t="shared" si="8"/>
        <v>39344010.441184059</v>
      </c>
      <c r="J20" s="30">
        <f t="shared" si="8"/>
        <v>40029784.92031949</v>
      </c>
      <c r="K20" s="30">
        <f t="shared" si="8"/>
        <v>40834809.637889557</v>
      </c>
    </row>
    <row r="21" spans="1:11" x14ac:dyDescent="0.35">
      <c r="A21" s="12"/>
      <c r="B21" s="12"/>
      <c r="C21" s="30"/>
      <c r="D21" s="30"/>
      <c r="E21" s="30"/>
      <c r="F21" s="30"/>
      <c r="G21" s="30"/>
      <c r="H21" s="30"/>
      <c r="I21" s="30"/>
      <c r="J21" s="30"/>
      <c r="K21" s="30"/>
    </row>
    <row r="22" spans="1:11" x14ac:dyDescent="0.35">
      <c r="A22" s="12"/>
      <c r="B22" s="12" t="s">
        <v>93</v>
      </c>
      <c r="C22" s="30">
        <f t="shared" ref="C22:K22" si="9">C20+C13</f>
        <v>576686960</v>
      </c>
      <c r="D22" s="30">
        <f t="shared" si="9"/>
        <v>617732891.60000002</v>
      </c>
      <c r="E22" s="30">
        <f t="shared" si="9"/>
        <v>658818446.27600002</v>
      </c>
      <c r="F22" s="30">
        <f t="shared" si="9"/>
        <v>699946251.41515994</v>
      </c>
      <c r="G22" s="30">
        <f t="shared" si="9"/>
        <v>755612710.2980516</v>
      </c>
      <c r="H22" s="30">
        <f t="shared" si="9"/>
        <v>797838813.96727538</v>
      </c>
      <c r="I22" s="30">
        <f t="shared" si="9"/>
        <v>839916153.90212154</v>
      </c>
      <c r="J22" s="30">
        <f t="shared" si="9"/>
        <v>834661928.38125694</v>
      </c>
      <c r="K22" s="30">
        <f t="shared" si="9"/>
        <v>833486953.098827</v>
      </c>
    </row>
    <row r="23" spans="1:11" x14ac:dyDescent="0.35">
      <c r="A23" s="12"/>
      <c r="B23" s="12" t="s">
        <v>94</v>
      </c>
      <c r="C23" s="30">
        <f>Budgets!B7</f>
        <v>586740000</v>
      </c>
      <c r="D23" s="30">
        <f>Budgets!C7</f>
        <v>627811800</v>
      </c>
      <c r="E23" s="30">
        <f>Budgets!D7</f>
        <v>671758626</v>
      </c>
      <c r="F23" s="30">
        <f>Budgets!E7</f>
        <v>718781729.82000005</v>
      </c>
      <c r="G23" s="30">
        <f>Budgets!F7</f>
        <v>769096450.90740013</v>
      </c>
      <c r="H23" s="30">
        <f>Budgets!G7</f>
        <v>822933202.47091818</v>
      </c>
      <c r="I23" s="30">
        <f>Budgets!H7</f>
        <v>880538526.64388251</v>
      </c>
      <c r="J23" s="30">
        <f>Budgets!I7</f>
        <v>942176223.50895429</v>
      </c>
      <c r="K23" s="30">
        <f>Budgets!J7</f>
        <v>1008128559.1545812</v>
      </c>
    </row>
    <row r="24" spans="1:11" x14ac:dyDescent="0.35">
      <c r="A24" s="12"/>
      <c r="B24" s="12" t="s">
        <v>95</v>
      </c>
      <c r="C24" s="30">
        <f>C23-C22</f>
        <v>10053040</v>
      </c>
      <c r="D24" s="30">
        <f t="shared" ref="D24:K24" si="10">D23-D22</f>
        <v>10078908.399999976</v>
      </c>
      <c r="E24" s="30">
        <f t="shared" si="10"/>
        <v>12940179.723999977</v>
      </c>
      <c r="F24" s="30">
        <f t="shared" si="10"/>
        <v>18835478.404840112</v>
      </c>
      <c r="G24" s="30">
        <f t="shared" si="10"/>
        <v>13483740.609348536</v>
      </c>
      <c r="H24" s="30">
        <f t="shared" si="10"/>
        <v>25094388.503642797</v>
      </c>
      <c r="I24" s="30">
        <f t="shared" si="10"/>
        <v>40622372.741760969</v>
      </c>
      <c r="J24" s="30">
        <f t="shared" si="10"/>
        <v>107514295.12769735</v>
      </c>
      <c r="K24" s="30">
        <f t="shared" si="10"/>
        <v>174641606.05575418</v>
      </c>
    </row>
    <row r="25" spans="1:11" x14ac:dyDescent="0.35">
      <c r="A25" s="12"/>
      <c r="B25" s="12"/>
      <c r="C25" s="30"/>
      <c r="D25" s="30"/>
      <c r="E25" s="30"/>
      <c r="F25" s="30"/>
      <c r="G25" s="30"/>
      <c r="H25" s="30"/>
      <c r="I25" s="30"/>
      <c r="J25" s="30"/>
      <c r="K25" s="30"/>
    </row>
    <row r="26" spans="1:11" x14ac:dyDescent="0.35">
      <c r="A26" s="12"/>
      <c r="B26" s="12" t="s">
        <v>96</v>
      </c>
      <c r="C26" s="30"/>
      <c r="D26" s="30"/>
      <c r="E26" s="30"/>
      <c r="F26" s="30"/>
      <c r="G26" s="30"/>
      <c r="H26" s="30"/>
      <c r="I26" s="30"/>
      <c r="J26" s="30"/>
      <c r="K26" s="30"/>
    </row>
    <row r="27" spans="1:11" x14ac:dyDescent="0.35">
      <c r="A27" s="12"/>
      <c r="B27" s="12" t="s">
        <v>97</v>
      </c>
      <c r="C27" s="30">
        <f>SUM('Ann 13'!E10:E13)*100000</f>
        <v>833452.89</v>
      </c>
      <c r="D27" s="30">
        <f>SUM('Ann 13'!E14:E17)*100000</f>
        <v>728347.89000000025</v>
      </c>
      <c r="E27" s="30">
        <f>SUM('Ann 13'!E18:E21)*100000</f>
        <v>598987.89000000013</v>
      </c>
      <c r="F27" s="30">
        <f>SUM('Ann 13'!E22:E25)*100000</f>
        <v>469627.89000000013</v>
      </c>
      <c r="G27" s="30">
        <f>SUM('Ann 13'!E26:E29)*100000</f>
        <v>340267.89000000013</v>
      </c>
      <c r="H27" s="30">
        <f>SUM('Ann 13'!E30:E33)*100000</f>
        <v>210907.8900000001</v>
      </c>
      <c r="I27" s="30">
        <f>SUM('Ann 13'!E34:E37)*100000</f>
        <v>75693.945000000051</v>
      </c>
      <c r="J27" s="30">
        <v>0</v>
      </c>
      <c r="K27" s="30">
        <v>0</v>
      </c>
    </row>
    <row r="28" spans="1:11" x14ac:dyDescent="0.35">
      <c r="A28" s="12"/>
      <c r="B28" s="12" t="s">
        <v>173</v>
      </c>
      <c r="C28" s="30">
        <v>0</v>
      </c>
      <c r="D28" s="30">
        <v>0</v>
      </c>
      <c r="E28" s="30">
        <v>0</v>
      </c>
      <c r="F28" s="30">
        <v>0</v>
      </c>
      <c r="G28" s="30">
        <v>0</v>
      </c>
      <c r="H28" s="30">
        <v>0</v>
      </c>
      <c r="I28" s="30">
        <v>0</v>
      </c>
      <c r="J28" s="30">
        <v>0</v>
      </c>
      <c r="K28" s="30">
        <v>0</v>
      </c>
    </row>
    <row r="29" spans="1:11" x14ac:dyDescent="0.35">
      <c r="A29" s="12"/>
      <c r="B29" s="41" t="s">
        <v>107</v>
      </c>
      <c r="C29" s="30">
        <f>SUM(C27:C28)</f>
        <v>833452.89</v>
      </c>
      <c r="D29" s="30">
        <f t="shared" ref="D29:K29" si="11">SUM(D27:D28)</f>
        <v>728347.89000000025</v>
      </c>
      <c r="E29" s="30">
        <f t="shared" si="11"/>
        <v>598987.89000000013</v>
      </c>
      <c r="F29" s="30">
        <f t="shared" si="11"/>
        <v>469627.89000000013</v>
      </c>
      <c r="G29" s="30">
        <f t="shared" si="11"/>
        <v>340267.89000000013</v>
      </c>
      <c r="H29" s="30">
        <f t="shared" si="11"/>
        <v>210907.8900000001</v>
      </c>
      <c r="I29" s="30">
        <f t="shared" si="11"/>
        <v>75693.945000000051</v>
      </c>
      <c r="J29" s="30">
        <f t="shared" si="11"/>
        <v>0</v>
      </c>
      <c r="K29" s="30">
        <f t="shared" si="11"/>
        <v>0</v>
      </c>
    </row>
    <row r="30" spans="1:11" x14ac:dyDescent="0.35">
      <c r="A30" s="12"/>
      <c r="B30" s="12"/>
      <c r="C30" s="30"/>
      <c r="D30" s="30"/>
      <c r="E30" s="30"/>
      <c r="F30" s="30"/>
      <c r="G30" s="30"/>
      <c r="H30" s="30"/>
      <c r="I30" s="30"/>
      <c r="J30" s="30"/>
      <c r="K30" s="30"/>
    </row>
    <row r="31" spans="1:11" x14ac:dyDescent="0.35">
      <c r="A31" s="12"/>
      <c r="B31" s="12" t="s">
        <v>108</v>
      </c>
      <c r="C31" s="30">
        <f t="shared" ref="C31:K31" si="12">C24-C29</f>
        <v>9219587.1099999994</v>
      </c>
      <c r="D31" s="30">
        <f t="shared" si="12"/>
        <v>9350560.5099999756</v>
      </c>
      <c r="E31" s="30">
        <f t="shared" si="12"/>
        <v>12341191.833999977</v>
      </c>
      <c r="F31" s="30">
        <f t="shared" si="12"/>
        <v>18365850.514840111</v>
      </c>
      <c r="G31" s="30">
        <f t="shared" si="12"/>
        <v>13143472.719348535</v>
      </c>
      <c r="H31" s="30">
        <f t="shared" si="12"/>
        <v>24883480.613642797</v>
      </c>
      <c r="I31" s="30">
        <f t="shared" si="12"/>
        <v>40546678.796760969</v>
      </c>
      <c r="J31" s="30">
        <f t="shared" si="12"/>
        <v>107514295.12769735</v>
      </c>
      <c r="K31" s="30">
        <f t="shared" si="12"/>
        <v>174641606.05575418</v>
      </c>
    </row>
    <row r="32" spans="1:11" x14ac:dyDescent="0.35">
      <c r="A32" s="12"/>
      <c r="B32" s="12" t="s">
        <v>205</v>
      </c>
      <c r="C32" s="30">
        <f>'Ann 1'!C35*100000</f>
        <v>0</v>
      </c>
      <c r="D32" s="30">
        <v>0</v>
      </c>
      <c r="E32" s="30">
        <v>0</v>
      </c>
      <c r="F32" s="30">
        <v>0</v>
      </c>
      <c r="G32" s="30">
        <v>0</v>
      </c>
      <c r="H32" s="30">
        <v>0</v>
      </c>
      <c r="I32" s="30">
        <v>0</v>
      </c>
      <c r="J32" s="30">
        <v>0</v>
      </c>
      <c r="K32" s="30">
        <v>0</v>
      </c>
    </row>
    <row r="33" spans="1:11" x14ac:dyDescent="0.35">
      <c r="A33" s="12"/>
      <c r="B33" s="41" t="s">
        <v>109</v>
      </c>
      <c r="C33" s="30">
        <f>'Ann 9'!C12+'Ann 9'!D12+'Ann 9'!E12</f>
        <v>2065889.4499999997</v>
      </c>
      <c r="D33" s="30">
        <f>'Ann 9'!C13+'Ann 9'!D13+'Ann 9'!E13</f>
        <v>1783177.6125000003</v>
      </c>
      <c r="E33" s="30">
        <f>'Ann 9'!C14+'Ann 9'!D14+'Ann 9'!E14</f>
        <v>1540155.3926249999</v>
      </c>
      <c r="F33" s="30">
        <f>'Ann 9'!C15+'Ann 9'!D15+'Ann 9'!E15</f>
        <v>1331141.06353125</v>
      </c>
      <c r="G33" s="30">
        <f>'Ann 9'!C16+'Ann 9'!D16+'Ann 9'!E16</f>
        <v>1151277.9858215624</v>
      </c>
      <c r="H33" s="30">
        <f>'Ann 9'!C17+'Ann 9'!D17+'Ann 9'!E17</f>
        <v>996413.56158632808</v>
      </c>
      <c r="I33" s="30">
        <f>'Ann 9'!C18+'Ann 9'!D18+'Ann 9'!E18</f>
        <v>862996.07362257899</v>
      </c>
      <c r="J33" s="30">
        <f>'Ann 9'!C19+'Ann 9'!D19+'Ann 9'!E19</f>
        <v>747986.75422597199</v>
      </c>
      <c r="K33" s="30">
        <f>'Ann 9'!C20+'Ann 9'!D20+'Ann 9'!E20</f>
        <v>648784.82357417815</v>
      </c>
    </row>
    <row r="34" spans="1:11" x14ac:dyDescent="0.35">
      <c r="A34" s="12"/>
      <c r="B34" s="41" t="s">
        <v>305</v>
      </c>
      <c r="C34" s="30">
        <v>0</v>
      </c>
      <c r="D34" s="30">
        <v>0</v>
      </c>
      <c r="E34" s="30">
        <v>0</v>
      </c>
      <c r="F34" s="30">
        <v>0</v>
      </c>
      <c r="G34" s="30">
        <v>0</v>
      </c>
      <c r="H34" s="30">
        <v>0</v>
      </c>
      <c r="I34" s="30">
        <f>'Ann 13'!C36*100000</f>
        <v>1250000</v>
      </c>
      <c r="J34" s="30">
        <v>0</v>
      </c>
      <c r="K34" s="30">
        <v>0</v>
      </c>
    </row>
    <row r="35" spans="1:11" x14ac:dyDescent="0.35">
      <c r="A35" s="12"/>
      <c r="B35" s="41" t="s">
        <v>110</v>
      </c>
      <c r="C35" s="30">
        <f>C31-C33-C32</f>
        <v>7153697.6600000001</v>
      </c>
      <c r="D35" s="30">
        <f t="shared" ref="D35:H35" si="13">D31-D33-D32</f>
        <v>7567382.8974999748</v>
      </c>
      <c r="E35" s="30">
        <f t="shared" si="13"/>
        <v>10801036.441374976</v>
      </c>
      <c r="F35" s="30">
        <f t="shared" si="13"/>
        <v>17034709.451308861</v>
      </c>
      <c r="G35" s="30">
        <f t="shared" si="13"/>
        <v>11992194.733526973</v>
      </c>
      <c r="H35" s="30">
        <f t="shared" si="13"/>
        <v>23887067.052056469</v>
      </c>
      <c r="I35" s="30">
        <f>I31-I33-I32+I34</f>
        <v>40933682.723138392</v>
      </c>
      <c r="J35" s="30">
        <f>J31-J33-J32+J34</f>
        <v>106766308.37347138</v>
      </c>
      <c r="K35" s="30">
        <f>K31-K33-K32+K34</f>
        <v>173992821.23218</v>
      </c>
    </row>
    <row r="36" spans="1:11" x14ac:dyDescent="0.35">
      <c r="A36" s="12"/>
      <c r="B36" s="41" t="s">
        <v>111</v>
      </c>
      <c r="C36" s="30">
        <f>'Ann 10'!B14</f>
        <v>2146109.298</v>
      </c>
      <c r="D36" s="30">
        <f>'Ann 10'!C14</f>
        <v>2270214.8692499925</v>
      </c>
      <c r="E36" s="30">
        <f>'Ann 10'!D14</f>
        <v>3240310.9324124926</v>
      </c>
      <c r="F36" s="30">
        <f>'Ann 10'!E14</f>
        <v>5110412.8353926586</v>
      </c>
      <c r="G36" s="30">
        <f>'Ann 10'!F14</f>
        <v>3597658.4200580916</v>
      </c>
      <c r="H36" s="30">
        <f>'Ann 10'!G14</f>
        <v>7166120.1156169409</v>
      </c>
      <c r="I36" s="30">
        <f>'Ann 10'!H14</f>
        <v>11905104.816941516</v>
      </c>
      <c r="J36" s="30">
        <f>'Ann 10'!I14</f>
        <v>32029892.512041412</v>
      </c>
      <c r="K36" s="30">
        <f>'Ann 10'!J14</f>
        <v>52197846.369654</v>
      </c>
    </row>
    <row r="37" spans="1:11" x14ac:dyDescent="0.35">
      <c r="A37" s="12"/>
      <c r="B37" s="41" t="s">
        <v>112</v>
      </c>
      <c r="C37" s="30">
        <f>C35-C36</f>
        <v>5007588.3619999997</v>
      </c>
      <c r="D37" s="30">
        <f>D35-D36</f>
        <v>5297168.0282499827</v>
      </c>
      <c r="E37" s="30">
        <f t="shared" ref="E37:K37" si="14">E35-E36</f>
        <v>7560725.5089624841</v>
      </c>
      <c r="F37" s="30">
        <f t="shared" si="14"/>
        <v>11924296.615916204</v>
      </c>
      <c r="G37" s="30">
        <f t="shared" si="14"/>
        <v>8394536.313468881</v>
      </c>
      <c r="H37" s="30">
        <f t="shared" si="14"/>
        <v>16720946.936439529</v>
      </c>
      <c r="I37" s="30">
        <f t="shared" si="14"/>
        <v>29028577.906196877</v>
      </c>
      <c r="J37" s="30">
        <f t="shared" si="14"/>
        <v>74736415.86142996</v>
      </c>
      <c r="K37" s="30">
        <f t="shared" si="14"/>
        <v>121794974.862526</v>
      </c>
    </row>
    <row r="38" spans="1:11" x14ac:dyDescent="0.35">
      <c r="A38" s="12"/>
      <c r="B38" s="41" t="s">
        <v>280</v>
      </c>
      <c r="C38" s="30">
        <f>C37*80%</f>
        <v>4006070.6896000002</v>
      </c>
      <c r="D38" s="30">
        <f t="shared" ref="D38:K38" si="15">D37*80%</f>
        <v>4237734.4225999862</v>
      </c>
      <c r="E38" s="30">
        <f t="shared" si="15"/>
        <v>6048580.4071699874</v>
      </c>
      <c r="F38" s="30">
        <f t="shared" si="15"/>
        <v>9539437.2927329633</v>
      </c>
      <c r="G38" s="30">
        <f t="shared" si="15"/>
        <v>6715629.0507751051</v>
      </c>
      <c r="H38" s="30">
        <f t="shared" si="15"/>
        <v>13376757.549151624</v>
      </c>
      <c r="I38" s="30">
        <f t="shared" si="15"/>
        <v>23222862.324957505</v>
      </c>
      <c r="J38" s="30">
        <f t="shared" si="15"/>
        <v>59789132.689143971</v>
      </c>
      <c r="K38" s="30">
        <f t="shared" si="15"/>
        <v>97435979.890020803</v>
      </c>
    </row>
    <row r="39" spans="1:11" x14ac:dyDescent="0.35">
      <c r="A39" s="12"/>
      <c r="B39" s="41" t="s">
        <v>122</v>
      </c>
      <c r="C39" s="30">
        <f>C37-C38</f>
        <v>1001517.6723999996</v>
      </c>
      <c r="D39" s="30">
        <f t="shared" ref="D39:K39" si="16">D37-D38</f>
        <v>1059433.6056499965</v>
      </c>
      <c r="E39" s="30">
        <f t="shared" si="16"/>
        <v>1512145.1017924966</v>
      </c>
      <c r="F39" s="30">
        <f t="shared" si="16"/>
        <v>2384859.3231832404</v>
      </c>
      <c r="G39" s="30">
        <f t="shared" si="16"/>
        <v>1678907.2626937758</v>
      </c>
      <c r="H39" s="30">
        <f t="shared" si="16"/>
        <v>3344189.3872879054</v>
      </c>
      <c r="I39" s="30">
        <f t="shared" si="16"/>
        <v>5805715.5812393725</v>
      </c>
      <c r="J39" s="30">
        <f t="shared" si="16"/>
        <v>14947283.172285989</v>
      </c>
      <c r="K39" s="30">
        <f t="shared" si="16"/>
        <v>24358994.972505197</v>
      </c>
    </row>
    <row r="41" spans="1:11" x14ac:dyDescent="0.35">
      <c r="A41" t="s">
        <v>296</v>
      </c>
    </row>
    <row r="42" spans="1:11" x14ac:dyDescent="0.35">
      <c r="A42" t="s">
        <v>297</v>
      </c>
    </row>
    <row r="43" spans="1:11" x14ac:dyDescent="0.35">
      <c r="B43" t="s">
        <v>196</v>
      </c>
      <c r="C43">
        <v>125000</v>
      </c>
      <c r="D43">
        <f>C43*1.05</f>
        <v>131250</v>
      </c>
      <c r="E43">
        <f t="shared" ref="E43:I43" si="17">D43*1.05</f>
        <v>137812.5</v>
      </c>
      <c r="F43">
        <f t="shared" si="17"/>
        <v>144703.125</v>
      </c>
      <c r="G43">
        <f t="shared" si="17"/>
        <v>151938.28125</v>
      </c>
      <c r="H43">
        <f t="shared" si="17"/>
        <v>159535.1953125</v>
      </c>
      <c r="I43">
        <f t="shared" si="17"/>
        <v>167511.955078125</v>
      </c>
      <c r="J43">
        <f>I43</f>
        <v>167511.955078125</v>
      </c>
      <c r="K43">
        <f>J43</f>
        <v>167511.955078125</v>
      </c>
    </row>
    <row r="44" spans="1:11" x14ac:dyDescent="0.35">
      <c r="B44" t="s">
        <v>73</v>
      </c>
      <c r="C44">
        <f>C43*12</f>
        <v>1500000</v>
      </c>
      <c r="D44">
        <f t="shared" ref="D44:K44" si="18">D43*12</f>
        <v>1575000</v>
      </c>
      <c r="E44">
        <f t="shared" si="18"/>
        <v>1653750</v>
      </c>
      <c r="F44">
        <f t="shared" si="18"/>
        <v>1736437.5</v>
      </c>
      <c r="G44">
        <f t="shared" si="18"/>
        <v>1823259.375</v>
      </c>
      <c r="H44">
        <f t="shared" si="18"/>
        <v>1914422.34375</v>
      </c>
      <c r="I44">
        <f t="shared" si="18"/>
        <v>2010143.4609375</v>
      </c>
      <c r="J44">
        <f t="shared" si="18"/>
        <v>2010143.4609375</v>
      </c>
      <c r="K44">
        <f t="shared" si="18"/>
        <v>2010143.4609375</v>
      </c>
    </row>
    <row r="45" spans="1:11" x14ac:dyDescent="0.35">
      <c r="A45" t="s">
        <v>298</v>
      </c>
    </row>
  </sheetData>
  <mergeCells count="1">
    <mergeCell ref="C3:K3"/>
  </mergeCells>
  <pageMargins left="0.7" right="0.7" top="0.75" bottom="0.75" header="0.3" footer="0.3"/>
  <pageSetup scale="59" orientation="landscape" r:id="rId1"/>
  <ignoredErrors>
    <ignoredError sqref="D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5"/>
  <sheetViews>
    <sheetView workbookViewId="0">
      <selection activeCell="F37" sqref="F37"/>
    </sheetView>
  </sheetViews>
  <sheetFormatPr defaultRowHeight="14.5" x14ac:dyDescent="0.35"/>
  <cols>
    <col min="2" max="2" width="28.26953125" customWidth="1"/>
    <col min="3" max="3" width="15.6328125" bestFit="1" customWidth="1"/>
    <col min="4" max="10" width="13.7265625" bestFit="1" customWidth="1"/>
    <col min="11" max="11" width="13.6328125" bestFit="1" customWidth="1"/>
    <col min="12" max="12" width="10" bestFit="1" customWidth="1"/>
  </cols>
  <sheetData>
    <row r="1" spans="1:11" x14ac:dyDescent="0.35">
      <c r="A1" s="22" t="s">
        <v>123</v>
      </c>
    </row>
    <row r="3" spans="1:11" x14ac:dyDescent="0.35">
      <c r="A3" t="s">
        <v>124</v>
      </c>
    </row>
    <row r="5" spans="1:11" x14ac:dyDescent="0.35">
      <c r="A5" s="112" t="s">
        <v>37</v>
      </c>
      <c r="B5" s="112" t="s">
        <v>38</v>
      </c>
      <c r="C5" s="112" t="s">
        <v>48</v>
      </c>
      <c r="D5" s="112"/>
      <c r="E5" s="112"/>
      <c r="F5" s="112"/>
      <c r="G5" s="112"/>
      <c r="H5" s="112"/>
      <c r="I5" s="112"/>
      <c r="J5" s="112"/>
      <c r="K5" s="112"/>
    </row>
    <row r="6" spans="1:11" x14ac:dyDescent="0.35">
      <c r="A6" s="112"/>
      <c r="B6" s="112"/>
      <c r="C6" s="34" t="s">
        <v>39</v>
      </c>
      <c r="D6" s="34" t="s">
        <v>40</v>
      </c>
      <c r="E6" s="34" t="s">
        <v>41</v>
      </c>
      <c r="F6" s="34" t="s">
        <v>42</v>
      </c>
      <c r="G6" s="34" t="s">
        <v>43</v>
      </c>
      <c r="H6" s="34" t="s">
        <v>44</v>
      </c>
      <c r="I6" s="34" t="s">
        <v>45</v>
      </c>
      <c r="J6" s="34" t="s">
        <v>46</v>
      </c>
      <c r="K6" s="34" t="s">
        <v>47</v>
      </c>
    </row>
    <row r="7" spans="1:11" x14ac:dyDescent="0.35">
      <c r="A7" s="43" t="s">
        <v>158</v>
      </c>
      <c r="B7" s="44" t="s">
        <v>125</v>
      </c>
      <c r="C7" s="55"/>
      <c r="D7" s="55"/>
      <c r="E7" s="46"/>
      <c r="F7" s="46"/>
      <c r="G7" s="46"/>
      <c r="H7" s="46"/>
      <c r="I7" s="46"/>
      <c r="J7" s="46"/>
      <c r="K7" s="46"/>
    </row>
    <row r="8" spans="1:11" x14ac:dyDescent="0.35">
      <c r="A8" s="14">
        <v>1</v>
      </c>
      <c r="B8" s="5" t="s">
        <v>126</v>
      </c>
      <c r="C8" s="9"/>
      <c r="D8" s="9"/>
      <c r="E8" s="6"/>
      <c r="F8" s="6"/>
      <c r="G8" s="6"/>
      <c r="H8" s="6"/>
      <c r="I8" s="6"/>
      <c r="J8" s="6"/>
      <c r="K8" s="6"/>
    </row>
    <row r="9" spans="1:11" x14ac:dyDescent="0.35">
      <c r="A9" s="14"/>
      <c r="B9" s="5" t="s">
        <v>127</v>
      </c>
      <c r="C9" s="56">
        <f>'Ann 9'!C6+'Ann 9'!D6+'Ann 9'!E6</f>
        <v>15584035</v>
      </c>
      <c r="D9" s="58">
        <f>C11</f>
        <v>13518145.550000001</v>
      </c>
      <c r="E9" s="27">
        <f t="shared" ref="E9:K9" si="0">D11</f>
        <v>11734967.9375</v>
      </c>
      <c r="F9" s="27">
        <f t="shared" si="0"/>
        <v>10194812.544875</v>
      </c>
      <c r="G9" s="27">
        <f t="shared" si="0"/>
        <v>8863671.4813437499</v>
      </c>
      <c r="H9" s="27">
        <f t="shared" si="0"/>
        <v>7712393.495522188</v>
      </c>
      <c r="I9" s="27">
        <f t="shared" si="0"/>
        <v>6715979.9339358602</v>
      </c>
      <c r="J9" s="27">
        <f t="shared" si="0"/>
        <v>5852983.8603132814</v>
      </c>
      <c r="K9" s="27">
        <f t="shared" si="0"/>
        <v>5104997.1060873093</v>
      </c>
    </row>
    <row r="10" spans="1:11" x14ac:dyDescent="0.35">
      <c r="A10" s="14"/>
      <c r="B10" s="5" t="s">
        <v>128</v>
      </c>
      <c r="C10" s="56">
        <f>'Ann 9'!C12+'Ann 9'!D12+'Ann 9'!E12</f>
        <v>2065889.4499999997</v>
      </c>
      <c r="D10" s="58">
        <f>'Ann 9'!C13+'Ann 9'!D13+'Ann 9'!E13</f>
        <v>1783177.6125000003</v>
      </c>
      <c r="E10" s="27">
        <f>'Ann 9'!C14+'Ann 9'!D14+'Ann 9'!E14</f>
        <v>1540155.3926249999</v>
      </c>
      <c r="F10" s="27">
        <f>'Ann 9'!C15+'Ann 9'!D15+'Ann 9'!E15</f>
        <v>1331141.06353125</v>
      </c>
      <c r="G10" s="27">
        <f>'Ann 9'!C16+'Ann 9'!D16+'Ann 9'!E16</f>
        <v>1151277.9858215624</v>
      </c>
      <c r="H10" s="27">
        <f>'Ann 9'!C17+'Ann 9'!D17+'Ann 9'!E17</f>
        <v>996413.56158632808</v>
      </c>
      <c r="I10" s="27">
        <f>+'Ann 9'!C18+'Ann 9'!D18+'Ann 9'!E18</f>
        <v>862996.07362257899</v>
      </c>
      <c r="J10" s="27">
        <f>'Ann 9'!C19+'Ann 9'!D19+'Ann 9'!E19</f>
        <v>747986.75422597199</v>
      </c>
      <c r="K10" s="27">
        <f>+'Ann 9'!C20+'Ann 9'!D20+'Ann 9'!E20</f>
        <v>648784.82357417815</v>
      </c>
    </row>
    <row r="11" spans="1:11" x14ac:dyDescent="0.35">
      <c r="A11" s="14"/>
      <c r="B11" s="5" t="s">
        <v>129</v>
      </c>
      <c r="C11" s="56">
        <f>C9-C10</f>
        <v>13518145.550000001</v>
      </c>
      <c r="D11" s="58">
        <f>D9-D10</f>
        <v>11734967.9375</v>
      </c>
      <c r="E11" s="27">
        <f t="shared" ref="E11:K11" si="1">E9-E10</f>
        <v>10194812.544875</v>
      </c>
      <c r="F11" s="27">
        <f t="shared" si="1"/>
        <v>8863671.4813437499</v>
      </c>
      <c r="G11" s="27">
        <f t="shared" si="1"/>
        <v>7712393.495522188</v>
      </c>
      <c r="H11" s="27">
        <f t="shared" si="1"/>
        <v>6715979.9339358602</v>
      </c>
      <c r="I11" s="27">
        <f t="shared" si="1"/>
        <v>5852983.8603132814</v>
      </c>
      <c r="J11" s="27">
        <f t="shared" si="1"/>
        <v>5104997.1060873093</v>
      </c>
      <c r="K11" s="27">
        <f t="shared" si="1"/>
        <v>4456212.2825131314</v>
      </c>
    </row>
    <row r="12" spans="1:11" x14ac:dyDescent="0.35">
      <c r="A12" s="14">
        <v>2</v>
      </c>
      <c r="B12" s="59" t="s">
        <v>190</v>
      </c>
      <c r="C12" s="56">
        <f>'Ann 4'!C12</f>
        <v>5544000</v>
      </c>
      <c r="D12" s="56">
        <f>'Ann 4'!D12</f>
        <v>11484000</v>
      </c>
      <c r="E12" s="56">
        <f>'Ann 4'!E12</f>
        <v>17820000</v>
      </c>
      <c r="F12" s="56">
        <f>'Ann 4'!F12</f>
        <v>24552000</v>
      </c>
      <c r="G12" s="56">
        <f>'Ann 4'!G12</f>
        <v>17424000</v>
      </c>
      <c r="H12" s="56">
        <f>'Ann 4'!H12</f>
        <v>9900000</v>
      </c>
      <c r="I12" s="56">
        <f>'Ann 4'!I12</f>
        <v>1980000</v>
      </c>
      <c r="J12" s="56">
        <f>'Ann 4'!J12</f>
        <v>0</v>
      </c>
      <c r="K12" s="56">
        <f>'Ann 4'!K12</f>
        <v>0</v>
      </c>
    </row>
    <row r="13" spans="1:11" x14ac:dyDescent="0.35">
      <c r="A13" s="14">
        <v>3</v>
      </c>
      <c r="B13" s="5" t="s">
        <v>130</v>
      </c>
      <c r="C13" s="56">
        <f>'Ann 4'!C23*30/300</f>
        <v>58674000</v>
      </c>
      <c r="D13" s="56">
        <f>'Ann 4'!D23*30/360</f>
        <v>52317650</v>
      </c>
      <c r="E13" s="56">
        <f>'Ann 4'!E23*30/360</f>
        <v>55979885.5</v>
      </c>
      <c r="F13" s="56">
        <f>'Ann 4'!F23*30/360</f>
        <v>59898477.485000007</v>
      </c>
      <c r="G13" s="56">
        <f>'Ann 4'!G23*30/360</f>
        <v>64091370.908950008</v>
      </c>
      <c r="H13" s="56">
        <f>'Ann 4'!H23*30/360</f>
        <v>68577766.872576505</v>
      </c>
      <c r="I13" s="56">
        <f>'Ann 4'!I23*30/360</f>
        <v>73378210.553656876</v>
      </c>
      <c r="J13" s="56">
        <f>'Ann 4'!J23*30/360</f>
        <v>78514685.292412847</v>
      </c>
      <c r="K13" s="56">
        <f>'Ann 4'!K23*30/360</f>
        <v>84010713.262881771</v>
      </c>
    </row>
    <row r="14" spans="1:11" x14ac:dyDescent="0.35">
      <c r="A14" s="14">
        <v>4</v>
      </c>
      <c r="B14" s="5" t="s">
        <v>131</v>
      </c>
      <c r="C14" s="57">
        <f>'Cash flows'!C19</f>
        <v>46803407.122400001</v>
      </c>
      <c r="D14" s="57">
        <f>'Cash flows'!D19</f>
        <v>36224368.340550043</v>
      </c>
      <c r="E14" s="57">
        <f>'Cash flows'!E19</f>
        <v>33612433.334967561</v>
      </c>
      <c r="F14" s="57">
        <f>'Cash flows'!F19</f>
        <v>31011841.736682087</v>
      </c>
      <c r="G14" s="57">
        <f>'Cash flows'!G19</f>
        <v>41111133.561247438</v>
      </c>
      <c r="H14" s="57">
        <f>'Cash flows'!H19</f>
        <v>52823340.546495192</v>
      </c>
      <c r="I14" s="57">
        <f>'Cash flows'!I19</f>
        <v>66933977.020276815</v>
      </c>
      <c r="J14" s="57">
        <f>'Cash flows'!J19</f>
        <v>79472772.208032802</v>
      </c>
      <c r="K14" s="57">
        <f>'Cash flows'!K19</f>
        <v>98984524.03364335</v>
      </c>
    </row>
    <row r="15" spans="1:11" x14ac:dyDescent="0.35">
      <c r="A15" s="14"/>
      <c r="B15" s="5" t="s">
        <v>139</v>
      </c>
      <c r="C15" s="56">
        <f t="shared" ref="C15:K15" si="2">SUM(C11:C14)</f>
        <v>124539552.6724</v>
      </c>
      <c r="D15" s="56">
        <f t="shared" si="2"/>
        <v>111760986.27805004</v>
      </c>
      <c r="E15" s="47">
        <f t="shared" si="2"/>
        <v>117607131.37984255</v>
      </c>
      <c r="F15" s="47">
        <f t="shared" si="2"/>
        <v>124325990.70302585</v>
      </c>
      <c r="G15" s="47">
        <f t="shared" si="2"/>
        <v>130338897.96571964</v>
      </c>
      <c r="H15" s="47">
        <f t="shared" si="2"/>
        <v>138017087.35300756</v>
      </c>
      <c r="I15" s="47">
        <f t="shared" si="2"/>
        <v>148145171.43424696</v>
      </c>
      <c r="J15" s="47">
        <f t="shared" si="2"/>
        <v>163092454.60653296</v>
      </c>
      <c r="K15" s="47">
        <f t="shared" si="2"/>
        <v>187451449.57903826</v>
      </c>
    </row>
    <row r="16" spans="1:11" x14ac:dyDescent="0.35">
      <c r="A16" s="14"/>
      <c r="B16" s="5"/>
      <c r="C16" s="56"/>
      <c r="D16" s="56"/>
      <c r="E16" s="47"/>
      <c r="F16" s="47"/>
      <c r="G16" s="47"/>
      <c r="H16" s="47"/>
      <c r="I16" s="47"/>
      <c r="J16" s="47"/>
      <c r="K16" s="47"/>
    </row>
    <row r="17" spans="1:13" x14ac:dyDescent="0.35">
      <c r="A17" s="14" t="s">
        <v>159</v>
      </c>
      <c r="B17" s="48" t="s">
        <v>132</v>
      </c>
      <c r="C17" s="9"/>
      <c r="D17" s="9"/>
      <c r="E17" s="6"/>
      <c r="F17" s="6"/>
      <c r="G17" s="6"/>
      <c r="H17" s="6"/>
      <c r="I17" s="6"/>
      <c r="J17" s="6"/>
      <c r="K17" s="6"/>
    </row>
    <row r="18" spans="1:13" x14ac:dyDescent="0.35">
      <c r="A18" s="14">
        <v>1</v>
      </c>
      <c r="B18" s="5" t="s">
        <v>133</v>
      </c>
      <c r="C18" s="57">
        <f>'Ann 2'!C4*100000</f>
        <v>1558403.5</v>
      </c>
      <c r="D18" s="57">
        <f>C21</f>
        <v>2559921.1723999996</v>
      </c>
      <c r="E18" s="18">
        <f t="shared" ref="E18:K18" si="3">D21</f>
        <v>3619354.7780499961</v>
      </c>
      <c r="F18" s="18">
        <f t="shared" si="3"/>
        <v>5131499.8798424928</v>
      </c>
      <c r="G18" s="18">
        <f t="shared" si="3"/>
        <v>7516359.2030257331</v>
      </c>
      <c r="H18" s="18">
        <f t="shared" si="3"/>
        <v>9195266.4657195099</v>
      </c>
      <c r="I18" s="18">
        <f t="shared" si="3"/>
        <v>12539455.853007415</v>
      </c>
      <c r="J18" s="18">
        <f t="shared" si="3"/>
        <v>18345171.434246786</v>
      </c>
      <c r="K18" s="18">
        <f t="shared" si="3"/>
        <v>33292454.606532775</v>
      </c>
    </row>
    <row r="19" spans="1:13" x14ac:dyDescent="0.35">
      <c r="A19" s="14"/>
      <c r="B19" s="5" t="s">
        <v>134</v>
      </c>
      <c r="C19" s="57">
        <f>'Ann 4'!C39</f>
        <v>1001517.6723999996</v>
      </c>
      <c r="D19" s="57">
        <f>'Ann 4'!D39</f>
        <v>1059433.6056499965</v>
      </c>
      <c r="E19" s="18">
        <f>'Ann 4'!E39</f>
        <v>1512145.1017924966</v>
      </c>
      <c r="F19" s="18">
        <f>'Ann 4'!F39</f>
        <v>2384859.3231832404</v>
      </c>
      <c r="G19" s="18">
        <f>'Ann 4'!G39</f>
        <v>1678907.2626937758</v>
      </c>
      <c r="H19" s="18">
        <f>'Ann 4'!H39</f>
        <v>3344189.3872879054</v>
      </c>
      <c r="I19" s="18">
        <f>'Ann 4'!I39</f>
        <v>5805715.5812393725</v>
      </c>
      <c r="J19" s="18">
        <f>'Ann 4'!J39</f>
        <v>14947283.172285989</v>
      </c>
      <c r="K19" s="18">
        <f>'Ann 4'!K39</f>
        <v>24358994.972505197</v>
      </c>
    </row>
    <row r="20" spans="1:13" x14ac:dyDescent="0.35">
      <c r="A20" s="14"/>
      <c r="B20" s="5" t="s">
        <v>135</v>
      </c>
      <c r="C20" s="57">
        <v>0</v>
      </c>
      <c r="D20" s="57">
        <v>0</v>
      </c>
      <c r="E20" s="18">
        <v>0</v>
      </c>
      <c r="F20" s="18">
        <v>0</v>
      </c>
      <c r="G20" s="18">
        <v>0</v>
      </c>
      <c r="H20" s="18">
        <v>0</v>
      </c>
      <c r="I20" s="18">
        <v>0</v>
      </c>
      <c r="J20" s="18">
        <v>0</v>
      </c>
      <c r="K20" s="18">
        <v>0</v>
      </c>
    </row>
    <row r="21" spans="1:13" x14ac:dyDescent="0.35">
      <c r="A21" s="14"/>
      <c r="B21" s="5" t="s">
        <v>136</v>
      </c>
      <c r="C21" s="57">
        <f>C18+C19</f>
        <v>2559921.1723999996</v>
      </c>
      <c r="D21" s="57">
        <f t="shared" ref="D21:K21" si="4">D18+D19</f>
        <v>3619354.7780499961</v>
      </c>
      <c r="E21" s="18">
        <f t="shared" si="4"/>
        <v>5131499.8798424928</v>
      </c>
      <c r="F21" s="18">
        <f t="shared" si="4"/>
        <v>7516359.2030257331</v>
      </c>
      <c r="G21" s="18">
        <f t="shared" si="4"/>
        <v>9195266.4657195099</v>
      </c>
      <c r="H21" s="18">
        <f t="shared" si="4"/>
        <v>12539455.853007415</v>
      </c>
      <c r="I21" s="18">
        <f t="shared" si="4"/>
        <v>18345171.434246786</v>
      </c>
      <c r="J21" s="18">
        <f t="shared" si="4"/>
        <v>33292454.606532775</v>
      </c>
      <c r="K21" s="18">
        <f t="shared" si="4"/>
        <v>57651449.579037972</v>
      </c>
    </row>
    <row r="22" spans="1:13" x14ac:dyDescent="0.35">
      <c r="A22" s="14">
        <v>2</v>
      </c>
      <c r="B22" s="5" t="s">
        <v>137</v>
      </c>
      <c r="C22" s="57">
        <f>'Ann 13'!C14*100000</f>
        <v>12947631.500000004</v>
      </c>
      <c r="D22" s="57">
        <f>'Ann 13'!C18*100000</f>
        <v>10791631.500000002</v>
      </c>
      <c r="E22" s="57">
        <f>'Ann 13'!C22*100000</f>
        <v>8635631.5000000019</v>
      </c>
      <c r="F22" s="57">
        <f>'Ann 13'!C26*100000</f>
        <v>6479631.5000000019</v>
      </c>
      <c r="G22" s="18">
        <f>('Ann 13'!C29-'Ann 13'!D29)*100000</f>
        <v>4323631.5000000019</v>
      </c>
      <c r="H22" s="18">
        <f>('Ann 13'!C33-'Ann 13'!D33)*100000</f>
        <v>2167631.5000000019</v>
      </c>
      <c r="I22" s="18">
        <v>0</v>
      </c>
      <c r="J22" s="18">
        <v>0</v>
      </c>
      <c r="K22" s="18">
        <v>0</v>
      </c>
    </row>
    <row r="23" spans="1:13" x14ac:dyDescent="0.35">
      <c r="A23" s="14">
        <v>3</v>
      </c>
      <c r="B23" s="59" t="s">
        <v>172</v>
      </c>
      <c r="C23" s="57">
        <f>'Ann 2'!$C$7*100000</f>
        <v>0</v>
      </c>
      <c r="D23" s="57">
        <f>'Ann 2'!$C$7*100000</f>
        <v>0</v>
      </c>
      <c r="E23" s="57">
        <f>'Ann 2'!$C$7*100000</f>
        <v>0</v>
      </c>
      <c r="F23" s="57">
        <f>'Ann 2'!$C$7*100000</f>
        <v>0</v>
      </c>
      <c r="G23" s="57">
        <f>'Ann 2'!$C$7*100000</f>
        <v>0</v>
      </c>
      <c r="H23" s="57">
        <f>'Ann 2'!$C$7*100000</f>
        <v>0</v>
      </c>
      <c r="I23" s="57">
        <f>'Ann 2'!$C$7*100000</f>
        <v>0</v>
      </c>
      <c r="J23" s="57">
        <f>'Ann 2'!$C$7*100000</f>
        <v>0</v>
      </c>
      <c r="K23" s="57">
        <f>'Ann 2'!$C$7*100000</f>
        <v>0</v>
      </c>
    </row>
    <row r="24" spans="1:13" x14ac:dyDescent="0.35">
      <c r="A24" s="14">
        <v>4</v>
      </c>
      <c r="B24" s="59" t="s">
        <v>167</v>
      </c>
      <c r="C24" s="57">
        <f>'Ann 4'!C7*60/300</f>
        <v>109032000</v>
      </c>
      <c r="D24" s="57">
        <f>'Ann 4'!D7*60/360</f>
        <v>97350000</v>
      </c>
      <c r="E24" s="57">
        <f>'Ann 4'!E7*60/360</f>
        <v>103840000</v>
      </c>
      <c r="F24" s="57">
        <f>'Ann 4'!F7*60/360</f>
        <v>110330000</v>
      </c>
      <c r="G24" s="57">
        <f>'Ann 4'!G7*60/360</f>
        <v>116820000</v>
      </c>
      <c r="H24" s="57">
        <f>'Ann 4'!H7*60/360</f>
        <v>123310000</v>
      </c>
      <c r="I24" s="57">
        <f>'Ann 4'!I7*60/360</f>
        <v>129800000</v>
      </c>
      <c r="J24" s="57">
        <f>'Ann 4'!J7*60/360</f>
        <v>129800000</v>
      </c>
      <c r="K24" s="57">
        <f>'Ann 4'!K7*60/360</f>
        <v>129800000</v>
      </c>
    </row>
    <row r="25" spans="1:13" x14ac:dyDescent="0.35">
      <c r="A25" s="14"/>
      <c r="B25" s="5" t="s">
        <v>138</v>
      </c>
      <c r="C25" s="56">
        <f t="shared" ref="C25:K25" si="5">SUM(C21:C24)</f>
        <v>124539552.6724</v>
      </c>
      <c r="D25" s="56">
        <f t="shared" si="5"/>
        <v>111760986.27805001</v>
      </c>
      <c r="E25" s="56">
        <f t="shared" si="5"/>
        <v>117607131.37984249</v>
      </c>
      <c r="F25" s="56">
        <f t="shared" si="5"/>
        <v>124325990.70302573</v>
      </c>
      <c r="G25" s="56">
        <f t="shared" si="5"/>
        <v>130338897.96571951</v>
      </c>
      <c r="H25" s="56">
        <f t="shared" si="5"/>
        <v>138017087.35300741</v>
      </c>
      <c r="I25" s="56">
        <f t="shared" si="5"/>
        <v>148145171.43424678</v>
      </c>
      <c r="J25" s="56">
        <f t="shared" si="5"/>
        <v>163092454.60653278</v>
      </c>
      <c r="K25" s="56">
        <f t="shared" si="5"/>
        <v>187451449.57903796</v>
      </c>
    </row>
    <row r="26" spans="1:13" x14ac:dyDescent="0.35">
      <c r="A26" s="14"/>
      <c r="B26" s="5"/>
      <c r="C26" s="56"/>
      <c r="D26" s="56"/>
      <c r="E26" s="56"/>
      <c r="F26" s="56"/>
      <c r="G26" s="56"/>
      <c r="H26" s="56"/>
      <c r="I26" s="56"/>
      <c r="J26" s="56"/>
      <c r="K26" s="56"/>
      <c r="L26" s="67"/>
      <c r="M26" s="5"/>
    </row>
    <row r="27" spans="1:13" x14ac:dyDescent="0.35">
      <c r="A27" s="60"/>
      <c r="B27" s="61" t="s">
        <v>140</v>
      </c>
      <c r="C27" s="62"/>
      <c r="D27" s="62"/>
      <c r="E27" s="63"/>
      <c r="F27" s="63"/>
      <c r="G27" s="63"/>
      <c r="H27" s="63"/>
      <c r="I27" s="63"/>
      <c r="J27" s="63"/>
      <c r="K27" s="63"/>
    </row>
    <row r="28" spans="1:13" x14ac:dyDescent="0.35">
      <c r="A28" s="14"/>
      <c r="B28" s="5" t="s">
        <v>141</v>
      </c>
      <c r="C28" s="56">
        <f t="shared" ref="C28:K28" si="6">SUM(C13:C14)</f>
        <v>105477407.1224</v>
      </c>
      <c r="D28" s="56">
        <f t="shared" si="6"/>
        <v>88542018.340550035</v>
      </c>
      <c r="E28" s="47">
        <f t="shared" si="6"/>
        <v>89592318.834967554</v>
      </c>
      <c r="F28" s="47">
        <f t="shared" si="6"/>
        <v>90910319.221682101</v>
      </c>
      <c r="G28" s="47">
        <f t="shared" si="6"/>
        <v>105202504.47019744</v>
      </c>
      <c r="H28" s="47">
        <f t="shared" si="6"/>
        <v>121401107.4190717</v>
      </c>
      <c r="I28" s="47">
        <f t="shared" si="6"/>
        <v>140312187.57393369</v>
      </c>
      <c r="J28" s="47">
        <f t="shared" si="6"/>
        <v>157987457.50044566</v>
      </c>
      <c r="K28" s="47">
        <f t="shared" si="6"/>
        <v>182995237.29652512</v>
      </c>
    </row>
    <row r="29" spans="1:13" x14ac:dyDescent="0.35">
      <c r="A29" s="14"/>
      <c r="B29" s="5" t="s">
        <v>142</v>
      </c>
      <c r="C29" s="56">
        <f>C24</f>
        <v>109032000</v>
      </c>
      <c r="D29" s="56">
        <f t="shared" ref="D29:K29" si="7">D24</f>
        <v>97350000</v>
      </c>
      <c r="E29" s="56">
        <f t="shared" si="7"/>
        <v>103840000</v>
      </c>
      <c r="F29" s="56">
        <f t="shared" si="7"/>
        <v>110330000</v>
      </c>
      <c r="G29" s="56">
        <f t="shared" si="7"/>
        <v>116820000</v>
      </c>
      <c r="H29" s="56">
        <f t="shared" si="7"/>
        <v>123310000</v>
      </c>
      <c r="I29" s="56">
        <f t="shared" si="7"/>
        <v>129800000</v>
      </c>
      <c r="J29" s="56">
        <f t="shared" si="7"/>
        <v>129800000</v>
      </c>
      <c r="K29" s="56">
        <f t="shared" si="7"/>
        <v>129800000</v>
      </c>
    </row>
    <row r="30" spans="1:13" x14ac:dyDescent="0.35">
      <c r="A30" s="14"/>
      <c r="B30" s="5" t="s">
        <v>147</v>
      </c>
      <c r="C30" s="9">
        <f>C28/C29</f>
        <v>0.96739862721402892</v>
      </c>
      <c r="D30" s="9">
        <f>D28/D29</f>
        <v>0.90952253046276355</v>
      </c>
      <c r="E30" s="6">
        <f t="shared" ref="E30:K30" si="8">E28/E29</f>
        <v>0.86279197645384775</v>
      </c>
      <c r="F30" s="6">
        <f t="shared" si="8"/>
        <v>0.8239854909968467</v>
      </c>
      <c r="G30" s="6">
        <f t="shared" si="8"/>
        <v>0.90055216975002084</v>
      </c>
      <c r="H30" s="6">
        <f t="shared" si="8"/>
        <v>0.98451956385590544</v>
      </c>
      <c r="I30" s="6">
        <f t="shared" si="8"/>
        <v>1.0809875776111995</v>
      </c>
      <c r="J30" s="6">
        <f t="shared" si="8"/>
        <v>1.2171606895257756</v>
      </c>
      <c r="K30" s="6">
        <f t="shared" si="8"/>
        <v>1.4098246324847852</v>
      </c>
    </row>
    <row r="31" spans="1:13" x14ac:dyDescent="0.35">
      <c r="A31" s="14"/>
      <c r="B31" s="59" t="s">
        <v>160</v>
      </c>
      <c r="C31" s="9"/>
      <c r="D31" s="9"/>
      <c r="E31" s="6"/>
      <c r="F31" s="6">
        <f>AVERAGE(C30:K30)</f>
        <v>1.0174159175950193</v>
      </c>
      <c r="G31" s="6"/>
      <c r="H31" s="6"/>
      <c r="I31" s="6"/>
      <c r="J31" s="6"/>
      <c r="K31" s="6"/>
    </row>
    <row r="32" spans="1:13" x14ac:dyDescent="0.35">
      <c r="A32" s="14"/>
      <c r="B32" s="5"/>
      <c r="C32" s="9"/>
      <c r="D32" s="9"/>
      <c r="E32" s="6"/>
      <c r="F32" s="6"/>
      <c r="G32" s="6"/>
      <c r="H32" s="6"/>
      <c r="I32" s="6"/>
      <c r="J32" s="6"/>
      <c r="K32" s="6"/>
    </row>
    <row r="33" spans="1:11" x14ac:dyDescent="0.35">
      <c r="A33" s="60"/>
      <c r="B33" s="61" t="s">
        <v>144</v>
      </c>
      <c r="C33" s="62"/>
      <c r="D33" s="62"/>
      <c r="E33" s="63"/>
      <c r="F33" s="63"/>
      <c r="G33" s="63"/>
      <c r="H33" s="63"/>
      <c r="I33" s="63"/>
      <c r="J33" s="63"/>
      <c r="K33" s="63"/>
    </row>
    <row r="34" spans="1:11" x14ac:dyDescent="0.35">
      <c r="A34" s="14"/>
      <c r="B34" s="5" t="s">
        <v>145</v>
      </c>
      <c r="C34" s="56">
        <f>C22+C23</f>
        <v>12947631.500000004</v>
      </c>
      <c r="D34" s="56">
        <f t="shared" ref="D34:K34" si="9">D22+D23</f>
        <v>10791631.500000002</v>
      </c>
      <c r="E34" s="56">
        <f t="shared" si="9"/>
        <v>8635631.5000000019</v>
      </c>
      <c r="F34" s="56">
        <f t="shared" si="9"/>
        <v>6479631.5000000019</v>
      </c>
      <c r="G34" s="56">
        <f t="shared" si="9"/>
        <v>4323631.5000000019</v>
      </c>
      <c r="H34" s="56">
        <f t="shared" si="9"/>
        <v>2167631.5000000019</v>
      </c>
      <c r="I34" s="56">
        <f t="shared" si="9"/>
        <v>0</v>
      </c>
      <c r="J34" s="56">
        <f t="shared" si="9"/>
        <v>0</v>
      </c>
      <c r="K34" s="56">
        <f t="shared" si="9"/>
        <v>0</v>
      </c>
    </row>
    <row r="35" spans="1:11" x14ac:dyDescent="0.35">
      <c r="A35" s="14"/>
      <c r="B35" s="5" t="s">
        <v>146</v>
      </c>
      <c r="C35" s="56">
        <f t="shared" ref="C35:K35" si="10">C21</f>
        <v>2559921.1723999996</v>
      </c>
      <c r="D35" s="56">
        <f t="shared" si="10"/>
        <v>3619354.7780499961</v>
      </c>
      <c r="E35" s="47">
        <f t="shared" si="10"/>
        <v>5131499.8798424928</v>
      </c>
      <c r="F35" s="47">
        <f t="shared" si="10"/>
        <v>7516359.2030257331</v>
      </c>
      <c r="G35" s="47">
        <f t="shared" si="10"/>
        <v>9195266.4657195099</v>
      </c>
      <c r="H35" s="47">
        <f t="shared" si="10"/>
        <v>12539455.853007415</v>
      </c>
      <c r="I35" s="47">
        <f t="shared" si="10"/>
        <v>18345171.434246786</v>
      </c>
      <c r="J35" s="47">
        <f t="shared" si="10"/>
        <v>33292454.606532775</v>
      </c>
      <c r="K35" s="47">
        <f t="shared" si="10"/>
        <v>57651449.579037972</v>
      </c>
    </row>
    <row r="36" spans="1:11" x14ac:dyDescent="0.35">
      <c r="A36" s="14"/>
      <c r="B36" s="5" t="s">
        <v>147</v>
      </c>
      <c r="C36" s="9">
        <f>C34/C35</f>
        <v>5.0578242953712627</v>
      </c>
      <c r="D36" s="9">
        <f t="shared" ref="D36:K36" si="11">D34/D35</f>
        <v>2.9816451168167108</v>
      </c>
      <c r="E36" s="6">
        <f t="shared" si="11"/>
        <v>1.6828669399218743</v>
      </c>
      <c r="F36" s="6">
        <f t="shared" si="11"/>
        <v>0.86207049516627765</v>
      </c>
      <c r="G36" s="6">
        <f t="shared" si="11"/>
        <v>0.47020187137792607</v>
      </c>
      <c r="H36" s="6">
        <f t="shared" si="11"/>
        <v>0.17286487750424395</v>
      </c>
      <c r="I36" s="6">
        <f t="shared" si="11"/>
        <v>0</v>
      </c>
      <c r="J36" s="6">
        <f t="shared" si="11"/>
        <v>0</v>
      </c>
      <c r="K36" s="6">
        <f t="shared" si="11"/>
        <v>0</v>
      </c>
    </row>
    <row r="37" spans="1:11" x14ac:dyDescent="0.35">
      <c r="A37" s="14"/>
      <c r="B37" s="59" t="s">
        <v>160</v>
      </c>
      <c r="C37" s="9"/>
      <c r="D37" s="9"/>
      <c r="E37" s="6"/>
      <c r="F37" s="6">
        <f>AVERAGE(C36:K36)</f>
        <v>1.2474970662398104</v>
      </c>
      <c r="G37" s="6"/>
      <c r="H37" s="6"/>
      <c r="I37" s="47"/>
      <c r="J37" s="47"/>
      <c r="K37" s="47"/>
    </row>
    <row r="38" spans="1:11" x14ac:dyDescent="0.35">
      <c r="A38" s="14"/>
      <c r="B38" s="5"/>
      <c r="C38" s="9"/>
      <c r="D38" s="9"/>
      <c r="E38" s="6"/>
      <c r="F38" s="6"/>
      <c r="G38" s="6"/>
      <c r="H38" s="6"/>
      <c r="I38" s="47"/>
      <c r="J38" s="47"/>
      <c r="K38" s="47"/>
    </row>
    <row r="39" spans="1:11" x14ac:dyDescent="0.35">
      <c r="A39" s="60"/>
      <c r="B39" s="61" t="s">
        <v>161</v>
      </c>
      <c r="C39" s="62"/>
      <c r="D39" s="62"/>
      <c r="E39" s="63"/>
      <c r="F39" s="63"/>
      <c r="G39" s="63"/>
      <c r="H39" s="63"/>
      <c r="I39" s="64"/>
      <c r="J39" s="64"/>
      <c r="K39" s="64"/>
    </row>
    <row r="40" spans="1:11" x14ac:dyDescent="0.35">
      <c r="A40" s="14"/>
      <c r="B40" s="59" t="s">
        <v>162</v>
      </c>
      <c r="C40" s="56">
        <f t="shared" ref="C40:K40" si="12">C11</f>
        <v>13518145.550000001</v>
      </c>
      <c r="D40" s="56">
        <f t="shared" si="12"/>
        <v>11734967.9375</v>
      </c>
      <c r="E40" s="56">
        <f t="shared" si="12"/>
        <v>10194812.544875</v>
      </c>
      <c r="F40" s="56">
        <f t="shared" si="12"/>
        <v>8863671.4813437499</v>
      </c>
      <c r="G40" s="56">
        <f t="shared" si="12"/>
        <v>7712393.495522188</v>
      </c>
      <c r="H40" s="56">
        <f t="shared" si="12"/>
        <v>6715979.9339358602</v>
      </c>
      <c r="I40" s="56">
        <f t="shared" si="12"/>
        <v>5852983.8603132814</v>
      </c>
      <c r="J40" s="56">
        <f t="shared" si="12"/>
        <v>5104997.1060873093</v>
      </c>
      <c r="K40" s="56">
        <f t="shared" si="12"/>
        <v>4456212.2825131314</v>
      </c>
    </row>
    <row r="41" spans="1:11" x14ac:dyDescent="0.35">
      <c r="A41" s="14"/>
      <c r="B41" s="59" t="s">
        <v>145</v>
      </c>
      <c r="C41" s="56">
        <f t="shared" ref="C41:K41" si="13">C22+C23</f>
        <v>12947631.500000004</v>
      </c>
      <c r="D41" s="56">
        <f t="shared" si="13"/>
        <v>10791631.500000002</v>
      </c>
      <c r="E41" s="56">
        <f t="shared" si="13"/>
        <v>8635631.5000000019</v>
      </c>
      <c r="F41" s="56">
        <f t="shared" si="13"/>
        <v>6479631.5000000019</v>
      </c>
      <c r="G41" s="56">
        <f t="shared" si="13"/>
        <v>4323631.5000000019</v>
      </c>
      <c r="H41" s="56">
        <f t="shared" si="13"/>
        <v>2167631.5000000019</v>
      </c>
      <c r="I41" s="56">
        <f t="shared" si="13"/>
        <v>0</v>
      </c>
      <c r="J41" s="56">
        <f t="shared" si="13"/>
        <v>0</v>
      </c>
      <c r="K41" s="56">
        <f t="shared" si="13"/>
        <v>0</v>
      </c>
    </row>
    <row r="42" spans="1:11" x14ac:dyDescent="0.35">
      <c r="A42" s="14"/>
      <c r="B42" s="59" t="s">
        <v>156</v>
      </c>
      <c r="C42" s="9">
        <f>C40/C41</f>
        <v>1.044063197967906</v>
      </c>
      <c r="D42" s="9">
        <f t="shared" ref="D42:H42" si="14">D40/D41</f>
        <v>1.0874136999118249</v>
      </c>
      <c r="E42" s="9">
        <f t="shared" si="14"/>
        <v>1.180552058627675</v>
      </c>
      <c r="F42" s="9">
        <f t="shared" si="14"/>
        <v>1.3679283276130358</v>
      </c>
      <c r="G42" s="9">
        <f t="shared" si="14"/>
        <v>1.7837767847519348</v>
      </c>
      <c r="H42" s="9">
        <f t="shared" si="14"/>
        <v>3.0983033481179132</v>
      </c>
      <c r="I42" s="56">
        <v>0</v>
      </c>
      <c r="J42" s="56">
        <v>0</v>
      </c>
      <c r="K42" s="56">
        <v>0</v>
      </c>
    </row>
    <row r="43" spans="1:11" x14ac:dyDescent="0.35">
      <c r="A43" s="14"/>
      <c r="B43" s="59"/>
      <c r="C43" s="9"/>
      <c r="D43" s="9"/>
      <c r="E43" s="6"/>
      <c r="F43" s="6">
        <f>AVERAGE(C42:K42)</f>
        <v>1.0624486018878099</v>
      </c>
      <c r="G43" s="6"/>
      <c r="H43" s="6"/>
      <c r="I43" s="6"/>
      <c r="J43" s="6"/>
      <c r="K43" s="6"/>
    </row>
    <row r="44" spans="1:11" x14ac:dyDescent="0.35">
      <c r="A44" s="14"/>
      <c r="B44" s="5"/>
      <c r="C44" s="9"/>
      <c r="D44" s="9"/>
      <c r="E44" s="6"/>
      <c r="F44" s="6"/>
      <c r="G44" s="6"/>
      <c r="H44" s="6"/>
      <c r="I44" s="47"/>
      <c r="J44" s="47"/>
      <c r="K44" s="47"/>
    </row>
    <row r="45" spans="1:11" x14ac:dyDescent="0.35">
      <c r="A45" s="60"/>
      <c r="B45" s="61" t="s">
        <v>153</v>
      </c>
      <c r="C45" s="62"/>
      <c r="D45" s="62"/>
      <c r="E45" s="63"/>
      <c r="F45" s="63"/>
      <c r="G45" s="63"/>
      <c r="H45" s="63"/>
      <c r="I45" s="64"/>
      <c r="J45" s="64"/>
      <c r="K45" s="64"/>
    </row>
    <row r="46" spans="1:11" x14ac:dyDescent="0.35">
      <c r="A46" s="14"/>
      <c r="B46" s="5" t="s">
        <v>154</v>
      </c>
      <c r="C46" s="57">
        <f>'Ann 4'!C29</f>
        <v>833452.89</v>
      </c>
      <c r="D46" s="57">
        <f>'Ann 4'!D29</f>
        <v>728347.89000000025</v>
      </c>
      <c r="E46" s="57">
        <f>'Ann 4'!E29</f>
        <v>598987.89000000013</v>
      </c>
      <c r="F46" s="57">
        <f>'Ann 4'!F29</f>
        <v>469627.89000000013</v>
      </c>
      <c r="G46" s="57">
        <f>'Ann 4'!G29</f>
        <v>340267.89000000013</v>
      </c>
      <c r="H46" s="57">
        <f>'Ann 4'!H29</f>
        <v>210907.8900000001</v>
      </c>
      <c r="I46" s="57">
        <f>'Ann 4'!I29</f>
        <v>75693.945000000051</v>
      </c>
      <c r="J46" s="57">
        <f>'Ann 4'!J29</f>
        <v>0</v>
      </c>
      <c r="K46" s="57">
        <f>'Ann 4'!K29</f>
        <v>0</v>
      </c>
    </row>
    <row r="47" spans="1:11" x14ac:dyDescent="0.35">
      <c r="A47" s="14"/>
      <c r="B47" s="5" t="s">
        <v>157</v>
      </c>
      <c r="C47" s="57">
        <f>(SUM('Ann 13'!D10:D13)*100000)+('Ann 1'!$C$25*100000)</f>
        <v>1078000</v>
      </c>
      <c r="D47" s="57">
        <f>(SUM('Ann 13'!D14:D17)*100000)+('Ann 1'!$C$25*100000)</f>
        <v>2156000</v>
      </c>
      <c r="E47" s="57">
        <f>(SUM('Ann 13'!D18:D21)*100000)+('Ann 1'!$C$25*100000)</f>
        <v>2156000</v>
      </c>
      <c r="F47" s="57">
        <f>(SUM('Ann 13'!D22:D25)*100000)+('Ann 1'!$C$25*100000)</f>
        <v>2156000</v>
      </c>
      <c r="G47" s="57">
        <f>(SUM('Ann 13'!D26:D29)*100000)+('Ann 1'!$C$25*100000)</f>
        <v>2156000</v>
      </c>
      <c r="H47" s="57">
        <f>(SUM('Ann 13'!D30:D33)*100000)+('Ann 1'!$C$25*100000)</f>
        <v>2156000</v>
      </c>
      <c r="I47" s="57">
        <f>(SUM('Ann 13'!D34:D37)*100000)+('Ann 1'!$C$25*100000)</f>
        <v>917631.50000000163</v>
      </c>
      <c r="J47" s="57">
        <f>(SUM('Ann 13'!D38:D39)*100000)+('Ann 1'!$C$25*100000)</f>
        <v>0</v>
      </c>
      <c r="K47" s="57">
        <f>(SUM('Ann 13'!D40:D43)*100000)+('Ann 1'!$C$25*100000)</f>
        <v>0</v>
      </c>
    </row>
    <row r="48" spans="1:11" x14ac:dyDescent="0.35">
      <c r="A48" s="14"/>
      <c r="B48" s="5" t="s">
        <v>8</v>
      </c>
      <c r="C48" s="57">
        <f>SUM(C46:C47)</f>
        <v>1911452.8900000001</v>
      </c>
      <c r="D48" s="57">
        <f t="shared" ref="D48:K48" si="15">SUM(D46:D47)</f>
        <v>2884347.89</v>
      </c>
      <c r="E48" s="18">
        <f t="shared" si="15"/>
        <v>2754987.89</v>
      </c>
      <c r="F48" s="18">
        <f t="shared" si="15"/>
        <v>2625627.89</v>
      </c>
      <c r="G48" s="18">
        <f t="shared" si="15"/>
        <v>2496267.89</v>
      </c>
      <c r="H48" s="18">
        <f t="shared" si="15"/>
        <v>2366907.89</v>
      </c>
      <c r="I48" s="18">
        <f t="shared" si="15"/>
        <v>993325.4450000017</v>
      </c>
      <c r="J48" s="18">
        <f t="shared" si="15"/>
        <v>0</v>
      </c>
      <c r="K48" s="18">
        <f t="shared" si="15"/>
        <v>0</v>
      </c>
    </row>
    <row r="49" spans="1:11" x14ac:dyDescent="0.35">
      <c r="A49" s="14"/>
      <c r="B49" s="5" t="s">
        <v>155</v>
      </c>
      <c r="C49" s="57">
        <f>'Ann 4'!C24</f>
        <v>10053040</v>
      </c>
      <c r="D49" s="57">
        <f>'Ann 4'!D24</f>
        <v>10078908.399999976</v>
      </c>
      <c r="E49" s="18">
        <f>'Ann 4'!E24</f>
        <v>12940179.723999977</v>
      </c>
      <c r="F49" s="18">
        <f>'Ann 4'!F24</f>
        <v>18835478.404840112</v>
      </c>
      <c r="G49" s="18">
        <f>'Ann 4'!G24</f>
        <v>13483740.609348536</v>
      </c>
      <c r="H49" s="18">
        <f>'Ann 4'!H24</f>
        <v>25094388.503642797</v>
      </c>
      <c r="I49" s="18">
        <f>'Ann 4'!I24</f>
        <v>40622372.741760969</v>
      </c>
      <c r="J49" s="18">
        <f>'Ann 4'!J24</f>
        <v>107514295.12769735</v>
      </c>
      <c r="K49" s="18">
        <f>'Ann 4'!K24</f>
        <v>174641606.05575418</v>
      </c>
    </row>
    <row r="50" spans="1:11" x14ac:dyDescent="0.35">
      <c r="A50" s="49"/>
      <c r="B50" s="50" t="s">
        <v>156</v>
      </c>
      <c r="C50" s="11">
        <f>C49/C48</f>
        <v>5.25937105360729</v>
      </c>
      <c r="D50" s="11">
        <f t="shared" ref="D50:I50" si="16">D49/D48</f>
        <v>3.4943456144605274</v>
      </c>
      <c r="E50" s="51">
        <f t="shared" si="16"/>
        <v>4.6970005824599017</v>
      </c>
      <c r="F50" s="51">
        <f t="shared" si="16"/>
        <v>7.1737044219316664</v>
      </c>
      <c r="G50" s="51">
        <f t="shared" si="16"/>
        <v>5.4015599300716621</v>
      </c>
      <c r="H50" s="51">
        <f t="shared" si="16"/>
        <v>10.602182116872658</v>
      </c>
      <c r="I50" s="51">
        <f t="shared" si="16"/>
        <v>40.895330876942246</v>
      </c>
      <c r="J50" s="51">
        <v>0</v>
      </c>
      <c r="K50" s="51">
        <v>0</v>
      </c>
    </row>
    <row r="51" spans="1:11" x14ac:dyDescent="0.35">
      <c r="A51" s="5"/>
      <c r="B51" s="59" t="s">
        <v>160</v>
      </c>
      <c r="C51" s="5"/>
      <c r="D51" s="5"/>
      <c r="E51" s="5"/>
      <c r="F51" s="5">
        <f>AVERAGE(C50:H50)</f>
        <v>6.1046939532339506</v>
      </c>
      <c r="G51" s="5"/>
      <c r="H51" s="5"/>
      <c r="I51" s="5"/>
      <c r="J51" s="5"/>
      <c r="K51" s="5"/>
    </row>
    <row r="52" spans="1:11" x14ac:dyDescent="0.35">
      <c r="I52" s="16"/>
      <c r="J52" s="16"/>
      <c r="K52" s="16"/>
    </row>
    <row r="54" spans="1:11" x14ac:dyDescent="0.35">
      <c r="A54" t="s">
        <v>260</v>
      </c>
    </row>
    <row r="55" spans="1:11" x14ac:dyDescent="0.35">
      <c r="A55" t="s">
        <v>143</v>
      </c>
    </row>
  </sheetData>
  <mergeCells count="3">
    <mergeCell ref="A5:A6"/>
    <mergeCell ref="B5:B6"/>
    <mergeCell ref="C5:K5"/>
  </mergeCells>
  <pageMargins left="0.7" right="0.7" top="0.75" bottom="0.75" header="0.3" footer="0.3"/>
  <pageSetup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E15" sqref="E15"/>
    </sheetView>
  </sheetViews>
  <sheetFormatPr defaultRowHeight="14.5" x14ac:dyDescent="0.35"/>
  <cols>
    <col min="1" max="1" width="5.6328125" bestFit="1" customWidth="1"/>
    <col min="2" max="2" width="26.08984375" bestFit="1" customWidth="1"/>
    <col min="4" max="4" width="25" bestFit="1" customWidth="1"/>
    <col min="5" max="5" width="12.54296875" bestFit="1" customWidth="1"/>
  </cols>
  <sheetData>
    <row r="1" spans="1:5" x14ac:dyDescent="0.35">
      <c r="A1" s="22" t="s">
        <v>164</v>
      </c>
    </row>
    <row r="3" spans="1:5" x14ac:dyDescent="0.35">
      <c r="A3" s="3" t="s">
        <v>165</v>
      </c>
    </row>
    <row r="5" spans="1:5" x14ac:dyDescent="0.35">
      <c r="A5" s="34" t="s">
        <v>52</v>
      </c>
      <c r="B5" s="34" t="s">
        <v>53</v>
      </c>
      <c r="C5" s="34" t="s">
        <v>54</v>
      </c>
      <c r="D5" s="34" t="s">
        <v>55</v>
      </c>
      <c r="E5" s="34" t="s">
        <v>259</v>
      </c>
    </row>
    <row r="6" spans="1:5" x14ac:dyDescent="0.35">
      <c r="A6" s="41" t="s">
        <v>56</v>
      </c>
      <c r="B6" s="41" t="s">
        <v>204</v>
      </c>
      <c r="C6" s="41">
        <v>3</v>
      </c>
      <c r="D6" s="30">
        <v>17000</v>
      </c>
      <c r="E6" s="30">
        <f>D6*C6*12</f>
        <v>612000</v>
      </c>
    </row>
    <row r="7" spans="1:5" x14ac:dyDescent="0.35">
      <c r="A7" s="12" t="s">
        <v>57</v>
      </c>
      <c r="B7" s="12" t="s">
        <v>60</v>
      </c>
      <c r="C7" s="12">
        <v>1</v>
      </c>
      <c r="D7" s="30">
        <v>29000</v>
      </c>
      <c r="E7" s="30">
        <f>D7*C7*12</f>
        <v>348000</v>
      </c>
    </row>
    <row r="8" spans="1:5" x14ac:dyDescent="0.35">
      <c r="A8" s="12" t="s">
        <v>61</v>
      </c>
      <c r="B8" s="12" t="s">
        <v>258</v>
      </c>
      <c r="C8" s="12">
        <v>4</v>
      </c>
      <c r="D8" s="30">
        <v>12000</v>
      </c>
      <c r="E8" s="30">
        <f>D8*C8*12</f>
        <v>576000</v>
      </c>
    </row>
    <row r="9" spans="1:5" x14ac:dyDescent="0.35">
      <c r="A9" s="12" t="s">
        <v>257</v>
      </c>
      <c r="B9" s="12" t="s">
        <v>166</v>
      </c>
      <c r="C9" s="12">
        <v>1</v>
      </c>
      <c r="D9" s="30">
        <v>9400</v>
      </c>
      <c r="E9" s="30">
        <f>D9*C9*12</f>
        <v>112800</v>
      </c>
    </row>
    <row r="10" spans="1:5" x14ac:dyDescent="0.35">
      <c r="A10" s="113" t="s">
        <v>8</v>
      </c>
      <c r="B10" s="113"/>
      <c r="C10" s="113"/>
      <c r="D10" s="113"/>
      <c r="E10" s="40">
        <f>SUM(E6:E9)</f>
        <v>1648800</v>
      </c>
    </row>
    <row r="11" spans="1:5" x14ac:dyDescent="0.35">
      <c r="A11" s="43"/>
      <c r="B11" s="45"/>
      <c r="C11" s="45"/>
      <c r="D11" s="45"/>
      <c r="E11" s="46"/>
    </row>
    <row r="12" spans="1:5" x14ac:dyDescent="0.35">
      <c r="A12" s="49" t="s">
        <v>281</v>
      </c>
      <c r="B12" s="50"/>
      <c r="C12" s="50"/>
      <c r="D12" s="50"/>
      <c r="E12" s="52">
        <f>E10*20%</f>
        <v>329760</v>
      </c>
    </row>
    <row r="13" spans="1:5" x14ac:dyDescent="0.35">
      <c r="A13" s="13" t="s">
        <v>8</v>
      </c>
      <c r="B13" s="4"/>
      <c r="C13" s="4"/>
      <c r="D13" s="4"/>
      <c r="E13" s="53">
        <f>SUM(E10:E12)</f>
        <v>1978560</v>
      </c>
    </row>
    <row r="15" spans="1:5" x14ac:dyDescent="0.35">
      <c r="A15" t="s">
        <v>58</v>
      </c>
      <c r="E15" s="16">
        <f>E13</f>
        <v>1978560</v>
      </c>
    </row>
    <row r="16" spans="1:5" x14ac:dyDescent="0.35">
      <c r="A16" t="s">
        <v>59</v>
      </c>
      <c r="E16" s="25">
        <v>0.06</v>
      </c>
    </row>
    <row r="17" spans="1:5" x14ac:dyDescent="0.35">
      <c r="A17" t="s">
        <v>168</v>
      </c>
      <c r="E17">
        <f>SUM(C6:C9)</f>
        <v>9</v>
      </c>
    </row>
  </sheetData>
  <mergeCells count="1">
    <mergeCell ref="A10:D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sheetPr>
    <pageSetUpPr fitToPage="1"/>
  </sheetPr>
  <dimension ref="A1:F22"/>
  <sheetViews>
    <sheetView workbookViewId="0">
      <selection activeCell="B22" sqref="B22"/>
    </sheetView>
  </sheetViews>
  <sheetFormatPr defaultRowHeight="14.5" x14ac:dyDescent="0.35"/>
  <cols>
    <col min="1" max="1" width="6.36328125" bestFit="1" customWidth="1"/>
    <col min="2" max="2" width="18.81640625" bestFit="1" customWidth="1"/>
    <col min="3" max="3" width="19.453125" bestFit="1" customWidth="1"/>
    <col min="4" max="4" width="18.08984375" bestFit="1" customWidth="1"/>
    <col min="5" max="5" width="14.453125" bestFit="1" customWidth="1"/>
    <col min="6" max="6" width="26.453125" bestFit="1" customWidth="1"/>
  </cols>
  <sheetData>
    <row r="1" spans="1:6" x14ac:dyDescent="0.35">
      <c r="A1" s="22" t="s">
        <v>63</v>
      </c>
    </row>
    <row r="3" spans="1:6" x14ac:dyDescent="0.35">
      <c r="A3" s="3" t="s">
        <v>62</v>
      </c>
    </row>
    <row r="5" spans="1:6" x14ac:dyDescent="0.35">
      <c r="A5" s="34" t="s">
        <v>24</v>
      </c>
      <c r="B5" s="34" t="s">
        <v>3</v>
      </c>
      <c r="C5" s="34" t="s">
        <v>66</v>
      </c>
      <c r="D5" s="34" t="s">
        <v>11</v>
      </c>
      <c r="E5" s="34" t="s">
        <v>67</v>
      </c>
      <c r="F5" s="34" t="s">
        <v>68</v>
      </c>
    </row>
    <row r="6" spans="1:6" x14ac:dyDescent="0.35">
      <c r="A6" s="12" t="s">
        <v>56</v>
      </c>
      <c r="B6" s="12" t="s">
        <v>13</v>
      </c>
      <c r="C6" s="30">
        <f>'Ann 1'!C12*100000</f>
        <v>5434316</v>
      </c>
      <c r="D6" s="30">
        <f>('Ann 1'!C20+'Ann 1'!C37)*100000</f>
        <v>10149719</v>
      </c>
      <c r="E6" s="30">
        <v>0</v>
      </c>
      <c r="F6" s="12">
        <f>SUM(C6:E6)/100000</f>
        <v>155.84035</v>
      </c>
    </row>
    <row r="7" spans="1:6" x14ac:dyDescent="0.35">
      <c r="A7" s="12" t="s">
        <v>57</v>
      </c>
      <c r="B7" s="12" t="s">
        <v>64</v>
      </c>
      <c r="C7" s="30">
        <v>0</v>
      </c>
      <c r="D7" s="30">
        <v>0</v>
      </c>
      <c r="E7" s="30">
        <v>0</v>
      </c>
      <c r="F7" s="30">
        <f>SUM(C7:E7)/100000</f>
        <v>0</v>
      </c>
    </row>
    <row r="8" spans="1:6" x14ac:dyDescent="0.35">
      <c r="A8" s="12" t="s">
        <v>61</v>
      </c>
      <c r="B8" s="12" t="s">
        <v>65</v>
      </c>
      <c r="C8" s="30">
        <v>0</v>
      </c>
      <c r="D8" s="30">
        <v>0</v>
      </c>
      <c r="E8" s="30">
        <v>0</v>
      </c>
      <c r="F8" s="30">
        <f>SUM(C8:E8)/100000</f>
        <v>0</v>
      </c>
    </row>
    <row r="9" spans="1:6" x14ac:dyDescent="0.35">
      <c r="A9" s="12"/>
      <c r="B9" s="113" t="s">
        <v>8</v>
      </c>
      <c r="C9" s="113"/>
      <c r="D9" s="113"/>
      <c r="E9" s="113"/>
      <c r="F9" s="12">
        <f>SUM(F6:F8)</f>
        <v>155.84035</v>
      </c>
    </row>
    <row r="11" spans="1:6" x14ac:dyDescent="0.35">
      <c r="A11" s="12"/>
      <c r="B11" s="12" t="s">
        <v>69</v>
      </c>
      <c r="C11" s="73">
        <v>0.1</v>
      </c>
      <c r="D11" s="73">
        <v>0.15</v>
      </c>
      <c r="E11" s="73">
        <v>0.1</v>
      </c>
      <c r="F11" s="12" t="s">
        <v>203</v>
      </c>
    </row>
    <row r="12" spans="1:6" x14ac:dyDescent="0.35">
      <c r="A12" s="80" t="s">
        <v>70</v>
      </c>
      <c r="B12" s="77">
        <v>1</v>
      </c>
      <c r="C12" s="81">
        <f>C11*C6</f>
        <v>543431.6</v>
      </c>
      <c r="D12" s="81">
        <f>D11*D6</f>
        <v>1522457.8499999999</v>
      </c>
      <c r="E12" s="81">
        <f>E11*E6</f>
        <v>0</v>
      </c>
      <c r="F12" s="81">
        <f>SUM(C12:E12)</f>
        <v>2065889.4499999997</v>
      </c>
    </row>
    <row r="13" spans="1:6" x14ac:dyDescent="0.35">
      <c r="A13" s="80" t="s">
        <v>70</v>
      </c>
      <c r="B13" s="77">
        <v>2</v>
      </c>
      <c r="C13" s="81">
        <f>(C6-C12)*C11</f>
        <v>489088.44000000006</v>
      </c>
      <c r="D13" s="81">
        <f>(D6-D12)*D11</f>
        <v>1294089.1725000001</v>
      </c>
      <c r="E13" s="81">
        <f>(E6-E12)*E11</f>
        <v>0</v>
      </c>
      <c r="F13" s="81">
        <f>SUM(C13:E13)</f>
        <v>1783177.6125000003</v>
      </c>
    </row>
    <row r="14" spans="1:6" x14ac:dyDescent="0.35">
      <c r="A14" s="80" t="s">
        <v>70</v>
      </c>
      <c r="B14" s="77">
        <v>3</v>
      </c>
      <c r="C14" s="81">
        <f>(C6-C12-C13)*C11</f>
        <v>440179.59600000002</v>
      </c>
      <c r="D14" s="81">
        <f>(D6-D12-D13)*D11</f>
        <v>1099975.796625</v>
      </c>
      <c r="E14" s="81">
        <f>(E6-E12-E13)*E11</f>
        <v>0</v>
      </c>
      <c r="F14" s="81">
        <f t="shared" ref="F14:F20" si="0">SUM(C14:E14)</f>
        <v>1540155.3926249999</v>
      </c>
    </row>
    <row r="15" spans="1:6" x14ac:dyDescent="0.35">
      <c r="A15" s="80" t="s">
        <v>70</v>
      </c>
      <c r="B15" s="77">
        <v>4</v>
      </c>
      <c r="C15" s="81">
        <f>(C6-C12-C13-C14)*C11</f>
        <v>396161.63640000002</v>
      </c>
      <c r="D15" s="81">
        <f>(D6-D12-D13-D14)*D11</f>
        <v>934979.42713124992</v>
      </c>
      <c r="E15" s="81">
        <f>(E6-E12-E13-E14)*E11</f>
        <v>0</v>
      </c>
      <c r="F15" s="81">
        <f t="shared" si="0"/>
        <v>1331141.06353125</v>
      </c>
    </row>
    <row r="16" spans="1:6" x14ac:dyDescent="0.35">
      <c r="A16" s="80" t="s">
        <v>70</v>
      </c>
      <c r="B16" s="77">
        <v>5</v>
      </c>
      <c r="C16" s="81">
        <f>(C6-C12-C13-C14-C15)*C11</f>
        <v>356545.47276000003</v>
      </c>
      <c r="D16" s="81">
        <f>(D6-D12-D13-D14-D15)*D11</f>
        <v>794732.51306156244</v>
      </c>
      <c r="E16" s="81">
        <f>(E6-E12-E13-E14-E15)*E11</f>
        <v>0</v>
      </c>
      <c r="F16" s="81">
        <f t="shared" si="0"/>
        <v>1151277.9858215624</v>
      </c>
    </row>
    <row r="17" spans="1:6" x14ac:dyDescent="0.35">
      <c r="A17" s="80" t="s">
        <v>70</v>
      </c>
      <c r="B17" s="77">
        <v>6</v>
      </c>
      <c r="C17" s="81">
        <f>(C6-C12-C13-C14-C15-C16)*C11</f>
        <v>320890.92548400001</v>
      </c>
      <c r="D17" s="81">
        <f>(D6-D12-D13-D14-D15-D16)*D11</f>
        <v>675522.63610232808</v>
      </c>
      <c r="E17" s="81">
        <f>(E6-E12-E13-E14-E15-E16)*E11</f>
        <v>0</v>
      </c>
      <c r="F17" s="81">
        <f t="shared" si="0"/>
        <v>996413.56158632808</v>
      </c>
    </row>
    <row r="18" spans="1:6" x14ac:dyDescent="0.35">
      <c r="A18" s="80" t="s">
        <v>70</v>
      </c>
      <c r="B18" s="77">
        <v>7</v>
      </c>
      <c r="C18" s="81">
        <f>(C6-C12-C13-C14-C15-C16-C17)*C11</f>
        <v>288801.83293560002</v>
      </c>
      <c r="D18" s="81">
        <f>(D6-D12-D13-D14-D15-D16-D17)*D11</f>
        <v>574194.24068697891</v>
      </c>
      <c r="E18" s="81">
        <f>(E6-E12-E13-E14-E15-E16-E17)*E11</f>
        <v>0</v>
      </c>
      <c r="F18" s="81">
        <f t="shared" si="0"/>
        <v>862996.07362257899</v>
      </c>
    </row>
    <row r="19" spans="1:6" x14ac:dyDescent="0.35">
      <c r="A19" s="80" t="s">
        <v>70</v>
      </c>
      <c r="B19" s="77">
        <v>8</v>
      </c>
      <c r="C19" s="81">
        <f>(C6-C12-C13-C14-C15-C16-C17-C18)*C11</f>
        <v>259921.64964203999</v>
      </c>
      <c r="D19" s="81">
        <f>(D6-D12-D13-D14-D15-D16-D17-D18)*D11</f>
        <v>488065.10458393203</v>
      </c>
      <c r="E19" s="81">
        <f>(E6-E12-E13-E14-E15-E16-E17-E18)*E11</f>
        <v>0</v>
      </c>
      <c r="F19" s="81">
        <f t="shared" si="0"/>
        <v>747986.75422597199</v>
      </c>
    </row>
    <row r="20" spans="1:6" x14ac:dyDescent="0.35">
      <c r="A20" s="80" t="s">
        <v>70</v>
      </c>
      <c r="B20" s="77">
        <v>9</v>
      </c>
      <c r="C20" s="81">
        <f>(C6-C12-C13-C14-C15-C16-C17-C18-C19)*C11</f>
        <v>233929.48467783598</v>
      </c>
      <c r="D20" s="81">
        <f>(D6-D12-D13-D14-D15-D16-D17-D18-D19)*D11</f>
        <v>414855.3388963422</v>
      </c>
      <c r="E20" s="81">
        <f>(E6-E12-E13-E14-E15-E16-E17-E18-E19)*E11</f>
        <v>0</v>
      </c>
      <c r="F20" s="81">
        <f t="shared" si="0"/>
        <v>648784.82357417815</v>
      </c>
    </row>
    <row r="21" spans="1:6" x14ac:dyDescent="0.35">
      <c r="B21" s="1"/>
    </row>
    <row r="22" spans="1:6" x14ac:dyDescent="0.35">
      <c r="A22" s="29"/>
    </row>
  </sheetData>
  <mergeCells count="1">
    <mergeCell ref="B9:E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14" sqref="A14"/>
    </sheetView>
  </sheetViews>
  <sheetFormatPr defaultRowHeight="14.5" x14ac:dyDescent="0.35"/>
  <cols>
    <col min="1" max="1" width="20.90625" customWidth="1"/>
    <col min="2" max="10" width="13.6328125" bestFit="1" customWidth="1"/>
  </cols>
  <sheetData>
    <row r="1" spans="1:10" x14ac:dyDescent="0.35">
      <c r="A1" s="22" t="s">
        <v>113</v>
      </c>
    </row>
    <row r="3" spans="1:10" x14ac:dyDescent="0.35">
      <c r="A3" s="3" t="s">
        <v>114</v>
      </c>
    </row>
    <row r="5" spans="1:10" x14ac:dyDescent="0.35">
      <c r="A5" s="112" t="s">
        <v>3</v>
      </c>
      <c r="B5" s="112" t="s">
        <v>48</v>
      </c>
      <c r="C5" s="112"/>
      <c r="D5" s="112"/>
      <c r="E5" s="112"/>
      <c r="F5" s="112"/>
      <c r="G5" s="112"/>
      <c r="H5" s="112"/>
      <c r="I5" s="112"/>
      <c r="J5" s="112"/>
    </row>
    <row r="6" spans="1:10" x14ac:dyDescent="0.35">
      <c r="A6" s="112"/>
      <c r="B6" s="34" t="s">
        <v>39</v>
      </c>
      <c r="C6" s="34" t="s">
        <v>40</v>
      </c>
      <c r="D6" s="34" t="s">
        <v>41</v>
      </c>
      <c r="E6" s="34" t="s">
        <v>42</v>
      </c>
      <c r="F6" s="34" t="s">
        <v>43</v>
      </c>
      <c r="G6" s="34" t="s">
        <v>44</v>
      </c>
      <c r="H6" s="34" t="s">
        <v>45</v>
      </c>
      <c r="I6" s="34" t="s">
        <v>46</v>
      </c>
      <c r="J6" s="34" t="s">
        <v>47</v>
      </c>
    </row>
    <row r="7" spans="1:10" x14ac:dyDescent="0.35">
      <c r="A7" s="12" t="s">
        <v>115</v>
      </c>
      <c r="B7" s="30">
        <f>'Ann 4'!C31</f>
        <v>9219587.1099999994</v>
      </c>
      <c r="C7" s="30">
        <f>'Ann 4'!D31</f>
        <v>9350560.5099999756</v>
      </c>
      <c r="D7" s="30">
        <f>'Ann 4'!E31</f>
        <v>12341191.833999977</v>
      </c>
      <c r="E7" s="30">
        <f>'Ann 4'!F31</f>
        <v>18365850.514840111</v>
      </c>
      <c r="F7" s="30">
        <f>'Ann 4'!G31</f>
        <v>13143472.719348535</v>
      </c>
      <c r="G7" s="30">
        <f>'Ann 4'!H31</f>
        <v>24883480.613642797</v>
      </c>
      <c r="H7" s="30">
        <f>'Ann 4'!I31</f>
        <v>40546678.796760969</v>
      </c>
      <c r="I7" s="30">
        <f>'Ann 4'!J31</f>
        <v>107514295.12769735</v>
      </c>
      <c r="J7" s="30">
        <f>'Ann 4'!K31</f>
        <v>174641606.05575418</v>
      </c>
    </row>
    <row r="8" spans="1:10" x14ac:dyDescent="0.35">
      <c r="A8" s="12" t="s">
        <v>116</v>
      </c>
      <c r="B8" s="30">
        <v>0</v>
      </c>
      <c r="C8" s="30">
        <v>0</v>
      </c>
      <c r="D8" s="30">
        <v>0</v>
      </c>
      <c r="E8" s="30">
        <v>0</v>
      </c>
      <c r="F8" s="30">
        <v>0</v>
      </c>
      <c r="G8" s="30">
        <v>0</v>
      </c>
      <c r="H8" s="30">
        <v>0</v>
      </c>
      <c r="I8" s="30">
        <v>0</v>
      </c>
      <c r="J8" s="30">
        <v>0</v>
      </c>
    </row>
    <row r="9" spans="1:10" x14ac:dyDescent="0.35">
      <c r="A9" s="12" t="s">
        <v>117</v>
      </c>
      <c r="B9" s="30">
        <f>B7+B8</f>
        <v>9219587.1099999994</v>
      </c>
      <c r="C9" s="30">
        <f t="shared" ref="C9:J9" si="0">C7+C8</f>
        <v>9350560.5099999756</v>
      </c>
      <c r="D9" s="30">
        <f t="shared" si="0"/>
        <v>12341191.833999977</v>
      </c>
      <c r="E9" s="30">
        <f t="shared" si="0"/>
        <v>18365850.514840111</v>
      </c>
      <c r="F9" s="30">
        <f t="shared" si="0"/>
        <v>13143472.719348535</v>
      </c>
      <c r="G9" s="30">
        <f t="shared" si="0"/>
        <v>24883480.613642797</v>
      </c>
      <c r="H9" s="30">
        <f t="shared" si="0"/>
        <v>40546678.796760969</v>
      </c>
      <c r="I9" s="30">
        <f t="shared" si="0"/>
        <v>107514295.12769735</v>
      </c>
      <c r="J9" s="30">
        <f t="shared" si="0"/>
        <v>174641606.05575418</v>
      </c>
    </row>
    <row r="10" spans="1:10" x14ac:dyDescent="0.35">
      <c r="A10" s="12" t="s">
        <v>118</v>
      </c>
      <c r="B10" s="30">
        <f>SUM('Ann 9'!C12:E12)</f>
        <v>2065889.4499999997</v>
      </c>
      <c r="C10" s="30">
        <f>SUM('Ann 9'!C13:E13)</f>
        <v>1783177.6125000003</v>
      </c>
      <c r="D10" s="30">
        <f>SUM('Ann 9'!C14:E14)</f>
        <v>1540155.3926249999</v>
      </c>
      <c r="E10" s="30">
        <f>SUM('Ann 9'!C15:E15)</f>
        <v>1331141.06353125</v>
      </c>
      <c r="F10" s="30">
        <f>SUM('Ann 9'!C16:E16)</f>
        <v>1151277.9858215624</v>
      </c>
      <c r="G10" s="30">
        <f>SUM('Ann 9'!C17:E17)</f>
        <v>996413.56158632808</v>
      </c>
      <c r="H10" s="30">
        <f>SUM('Ann 9'!C18:E18)</f>
        <v>862996.07362257899</v>
      </c>
      <c r="I10" s="30">
        <f>SUM('Ann 9'!C19:E19)</f>
        <v>747986.75422597199</v>
      </c>
      <c r="J10" s="30">
        <f>SUM('Ann 9'!C20:E20)</f>
        <v>648784.82357417815</v>
      </c>
    </row>
    <row r="11" spans="1:10" x14ac:dyDescent="0.35">
      <c r="A11" s="12" t="s">
        <v>117</v>
      </c>
      <c r="B11" s="30">
        <f>B9-B10</f>
        <v>7153697.6600000001</v>
      </c>
      <c r="C11" s="30">
        <f t="shared" ref="C11:J11" si="1">C9-C10</f>
        <v>7567382.8974999748</v>
      </c>
      <c r="D11" s="30">
        <f t="shared" si="1"/>
        <v>10801036.441374976</v>
      </c>
      <c r="E11" s="30">
        <f t="shared" si="1"/>
        <v>17034709.451308861</v>
      </c>
      <c r="F11" s="30">
        <f t="shared" si="1"/>
        <v>11992194.733526973</v>
      </c>
      <c r="G11" s="30">
        <f t="shared" si="1"/>
        <v>23887067.052056469</v>
      </c>
      <c r="H11" s="30">
        <f t="shared" si="1"/>
        <v>39683682.723138392</v>
      </c>
      <c r="I11" s="30">
        <f t="shared" si="1"/>
        <v>106766308.37347138</v>
      </c>
      <c r="J11" s="30">
        <f t="shared" si="1"/>
        <v>173992821.23218</v>
      </c>
    </row>
    <row r="12" spans="1:10" x14ac:dyDescent="0.35">
      <c r="A12" s="12" t="s">
        <v>119</v>
      </c>
      <c r="B12" s="54">
        <v>0</v>
      </c>
      <c r="C12" s="54">
        <v>0</v>
      </c>
      <c r="D12" s="54">
        <v>0</v>
      </c>
      <c r="E12" s="54">
        <v>0</v>
      </c>
      <c r="F12" s="54">
        <v>0</v>
      </c>
      <c r="G12" s="54">
        <v>0</v>
      </c>
      <c r="H12" s="54">
        <v>0</v>
      </c>
      <c r="I12" s="54">
        <v>0</v>
      </c>
      <c r="J12" s="54">
        <v>0</v>
      </c>
    </row>
    <row r="13" spans="1:10" x14ac:dyDescent="0.35">
      <c r="A13" s="12" t="s">
        <v>120</v>
      </c>
      <c r="B13" s="40">
        <f>B11</f>
        <v>7153697.6600000001</v>
      </c>
      <c r="C13" s="40">
        <f t="shared" ref="C13:J13" si="2">C11</f>
        <v>7567382.8974999748</v>
      </c>
      <c r="D13" s="40">
        <f t="shared" si="2"/>
        <v>10801036.441374976</v>
      </c>
      <c r="E13" s="40">
        <f t="shared" si="2"/>
        <v>17034709.451308861</v>
      </c>
      <c r="F13" s="40">
        <f t="shared" si="2"/>
        <v>11992194.733526973</v>
      </c>
      <c r="G13" s="40">
        <f t="shared" si="2"/>
        <v>23887067.052056469</v>
      </c>
      <c r="H13" s="40">
        <f t="shared" si="2"/>
        <v>39683682.723138392</v>
      </c>
      <c r="I13" s="40">
        <f t="shared" si="2"/>
        <v>106766308.37347138</v>
      </c>
      <c r="J13" s="40">
        <f t="shared" si="2"/>
        <v>173992821.23218</v>
      </c>
    </row>
    <row r="14" spans="1:10" x14ac:dyDescent="0.35">
      <c r="A14" s="12" t="s">
        <v>121</v>
      </c>
      <c r="B14" s="40">
        <f>B13*30%</f>
        <v>2146109.298</v>
      </c>
      <c r="C14" s="40">
        <f t="shared" ref="C14:J14" si="3">C13*30%</f>
        <v>2270214.8692499925</v>
      </c>
      <c r="D14" s="40">
        <f t="shared" si="3"/>
        <v>3240310.9324124926</v>
      </c>
      <c r="E14" s="40">
        <f t="shared" si="3"/>
        <v>5110412.8353926586</v>
      </c>
      <c r="F14" s="40">
        <f t="shared" si="3"/>
        <v>3597658.4200580916</v>
      </c>
      <c r="G14" s="40">
        <f t="shared" si="3"/>
        <v>7166120.1156169409</v>
      </c>
      <c r="H14" s="40">
        <f t="shared" si="3"/>
        <v>11905104.816941516</v>
      </c>
      <c r="I14" s="40">
        <f t="shared" si="3"/>
        <v>32029892.512041412</v>
      </c>
      <c r="J14" s="40">
        <f t="shared" si="3"/>
        <v>52197846.369654</v>
      </c>
    </row>
  </sheetData>
  <mergeCells count="2">
    <mergeCell ref="B5:J5"/>
    <mergeCell ref="A5:A6"/>
  </mergeCells>
  <pageMargins left="0.7" right="0.7"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Ann 1</vt:lpstr>
      <vt:lpstr>Ann 2</vt:lpstr>
      <vt:lpstr>Ann 3</vt:lpstr>
      <vt:lpstr>Ann 4</vt:lpstr>
      <vt:lpstr>Ann 5</vt:lpstr>
      <vt:lpstr>Ann 8</vt:lpstr>
      <vt:lpstr>Ann 9</vt:lpstr>
      <vt:lpstr>Ann 10</vt:lpstr>
      <vt:lpstr>Ann 11</vt:lpstr>
      <vt:lpstr>Ann 12</vt:lpstr>
      <vt:lpstr>Ann 13</vt:lpstr>
      <vt:lpstr>Budgets</vt:lpstr>
      <vt:lpstr>Cash flows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2021-07-15T11:18:56Z</cp:lastPrinted>
  <dcterms:created xsi:type="dcterms:W3CDTF">2021-07-04T07:21:16Z</dcterms:created>
  <dcterms:modified xsi:type="dcterms:W3CDTF">2021-07-15T11:26:15Z</dcterms:modified>
</cp:coreProperties>
</file>