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Sir- Nabcons\17. Small Silos\"/>
    </mc:Choice>
  </mc:AlternateContent>
  <xr:revisionPtr revIDLastSave="0" documentId="13_ncr:1_{3A3F2746-5238-4486-81B4-6EE384F9F28C}" xr6:coauthVersionLast="47" xr6:coauthVersionMax="47" xr10:uidLastSave="{00000000-0000-0000-0000-000000000000}"/>
  <bookViews>
    <workbookView xWindow="-110" yWindow="-110" windowWidth="19420" windowHeight="11020" xr2:uid="{8B0049CE-B79C-4EF0-8FA8-FBBF9BECEBD1}"/>
  </bookViews>
  <sheets>
    <sheet name="Contents" sheetId="20" r:id="rId1"/>
    <sheet name="Ann 1" sheetId="1" r:id="rId2"/>
    <sheet name="Ann 2" sheetId="2" r:id="rId3"/>
    <sheet name="Ann 3" sheetId="3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For word file" sheetId="19" state="hidden" r:id="rId13"/>
    <sheet name="Ann 14" sheetId="18" r:id="rId14"/>
    <sheet name="Assumptions" sheetId="21" r:id="rId15"/>
    <sheet name="Budgets" sheetId="22" r:id="rId16"/>
    <sheet name="Sheet1" sheetId="15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1" l="1"/>
  <c r="E5" i="21"/>
  <c r="D5" i="21"/>
  <c r="H4" i="21"/>
  <c r="H5" i="21" s="1"/>
  <c r="F4" i="21"/>
  <c r="F5" i="21" s="1"/>
  <c r="E15" i="11"/>
  <c r="E14" i="11"/>
  <c r="E13" i="11"/>
  <c r="C20" i="11"/>
  <c r="D7" i="11"/>
  <c r="C21" i="11" s="1"/>
  <c r="E11" i="11"/>
  <c r="D6" i="22"/>
  <c r="E6" i="22"/>
  <c r="F14" i="4" s="1"/>
  <c r="F6" i="22"/>
  <c r="G14" i="4" s="1"/>
  <c r="G6" i="22"/>
  <c r="H14" i="4" s="1"/>
  <c r="H6" i="22"/>
  <c r="I14" i="4" s="1"/>
  <c r="I6" i="22"/>
  <c r="J14" i="4" s="1"/>
  <c r="J6" i="22"/>
  <c r="C6" i="22"/>
  <c r="D14" i="4" s="1"/>
  <c r="K14" i="4"/>
  <c r="E14" i="4"/>
  <c r="D6" i="10"/>
  <c r="G32" i="4"/>
  <c r="H32" i="4" s="1"/>
  <c r="C7" i="2"/>
  <c r="B4" i="18"/>
  <c r="G5" i="3"/>
  <c r="B10" i="22"/>
  <c r="J5" i="22" s="1"/>
  <c r="E10" i="9"/>
  <c r="C33" i="4"/>
  <c r="C8" i="4" s="1"/>
  <c r="I4" i="21" l="1"/>
  <c r="F5" i="22"/>
  <c r="G5" i="22"/>
  <c r="I5" i="22"/>
  <c r="B14" i="22"/>
  <c r="H5" i="22"/>
  <c r="C5" i="22"/>
  <c r="D5" i="22"/>
  <c r="E5" i="22"/>
  <c r="B5" i="22"/>
  <c r="B6" i="22" s="1"/>
  <c r="C14" i="4" s="1"/>
  <c r="I5" i="21" l="1"/>
  <c r="J4" i="21"/>
  <c r="G19" i="3"/>
  <c r="G20" i="3"/>
  <c r="G18" i="3"/>
  <c r="G17" i="3"/>
  <c r="G16" i="3"/>
  <c r="G15" i="3"/>
  <c r="G14" i="3"/>
  <c r="G13" i="3"/>
  <c r="G12" i="3"/>
  <c r="A6" i="20"/>
  <c r="G11" i="3"/>
  <c r="D22" i="7"/>
  <c r="E22" i="7"/>
  <c r="F22" i="7"/>
  <c r="G22" i="7"/>
  <c r="H22" i="7"/>
  <c r="I22" i="7"/>
  <c r="J22" i="7"/>
  <c r="K22" i="7"/>
  <c r="C22" i="7"/>
  <c r="D19" i="4"/>
  <c r="E19" i="4"/>
  <c r="F19" i="4"/>
  <c r="G19" i="4"/>
  <c r="H19" i="4"/>
  <c r="I19" i="4"/>
  <c r="J19" i="4"/>
  <c r="K19" i="4"/>
  <c r="C19" i="4"/>
  <c r="A14" i="20"/>
  <c r="A15" i="20"/>
  <c r="A13" i="20"/>
  <c r="A12" i="20"/>
  <c r="A11" i="20"/>
  <c r="A10" i="20"/>
  <c r="A9" i="20"/>
  <c r="A8" i="20"/>
  <c r="A7" i="20"/>
  <c r="A5" i="20"/>
  <c r="A4" i="20"/>
  <c r="J5" i="21" l="1"/>
  <c r="K4" i="21"/>
  <c r="E32" i="4"/>
  <c r="D33" i="4"/>
  <c r="D8" i="4" s="1"/>
  <c r="G21" i="3"/>
  <c r="C16" i="1" s="1"/>
  <c r="E5" i="11"/>
  <c r="J19" i="18"/>
  <c r="I19" i="18"/>
  <c r="H19" i="18"/>
  <c r="G19" i="18"/>
  <c r="F19" i="18"/>
  <c r="E19" i="18"/>
  <c r="D19" i="18"/>
  <c r="C19" i="18"/>
  <c r="B19" i="18"/>
  <c r="B3" i="19"/>
  <c r="I39" i="7"/>
  <c r="J39" i="7"/>
  <c r="K39" i="7"/>
  <c r="I32" i="7"/>
  <c r="J32" i="7"/>
  <c r="K32" i="7"/>
  <c r="J20" i="4"/>
  <c r="I9" i="18" s="1"/>
  <c r="K20" i="4"/>
  <c r="J9" i="18" s="1"/>
  <c r="C23" i="7"/>
  <c r="C6" i="18" s="1"/>
  <c r="K5" i="21" l="1"/>
  <c r="L4" i="21"/>
  <c r="L5" i="21" s="1"/>
  <c r="E33" i="4"/>
  <c r="E8" i="4" s="1"/>
  <c r="C28" i="7"/>
  <c r="J44" i="7"/>
  <c r="K44" i="7"/>
  <c r="E6" i="9"/>
  <c r="E12" i="9"/>
  <c r="F33" i="4" l="1"/>
  <c r="F8" i="4" s="1"/>
  <c r="D23" i="7"/>
  <c r="G33" i="4" l="1"/>
  <c r="G8" i="4" s="1"/>
  <c r="D6" i="18"/>
  <c r="D28" i="7"/>
  <c r="C3" i="19"/>
  <c r="C12" i="7"/>
  <c r="E23" i="7"/>
  <c r="G10" i="14"/>
  <c r="E12" i="10"/>
  <c r="J46" i="7"/>
  <c r="K46" i="7"/>
  <c r="D12" i="10"/>
  <c r="D13" i="10" s="1"/>
  <c r="C17" i="1"/>
  <c r="F8" i="10"/>
  <c r="F7" i="10"/>
  <c r="E7" i="9"/>
  <c r="G8" i="3"/>
  <c r="C12" i="1" s="1"/>
  <c r="C6" i="10" s="1"/>
  <c r="C9" i="7" s="1"/>
  <c r="C9" i="1"/>
  <c r="C12" i="10" l="1"/>
  <c r="C23" i="4" s="1"/>
  <c r="F6" i="10"/>
  <c r="C13" i="1"/>
  <c r="I32" i="4"/>
  <c r="H33" i="4"/>
  <c r="H8" i="4" s="1"/>
  <c r="E6" i="18"/>
  <c r="E28" i="7"/>
  <c r="G23" i="3"/>
  <c r="C7" i="15" s="1"/>
  <c r="F12" i="10"/>
  <c r="B5" i="18"/>
  <c r="B20" i="18" s="1"/>
  <c r="B21" i="18" s="1"/>
  <c r="C7" i="18"/>
  <c r="E8" i="9"/>
  <c r="F23" i="7"/>
  <c r="D12" i="7"/>
  <c r="D3" i="19"/>
  <c r="C10" i="7"/>
  <c r="C11" i="7" s="1"/>
  <c r="B10" i="13"/>
  <c r="C13" i="10"/>
  <c r="C3" i="15"/>
  <c r="C34" i="1"/>
  <c r="C8" i="2" s="1"/>
  <c r="F9" i="10"/>
  <c r="E13" i="10"/>
  <c r="K6" i="12"/>
  <c r="E5" i="12"/>
  <c r="H6" i="12"/>
  <c r="E6" i="12"/>
  <c r="D6" i="12"/>
  <c r="F6" i="12"/>
  <c r="F5" i="12"/>
  <c r="G5" i="12"/>
  <c r="I6" i="12"/>
  <c r="D14" i="10"/>
  <c r="D7" i="18" l="1"/>
  <c r="C5" i="18"/>
  <c r="J32" i="4"/>
  <c r="I33" i="4"/>
  <c r="I8" i="4" s="1"/>
  <c r="F6" i="18"/>
  <c r="F28" i="7"/>
  <c r="C4" i="2"/>
  <c r="C6" i="2" s="1"/>
  <c r="D4" i="14" s="1"/>
  <c r="F13" i="10"/>
  <c r="C7" i="4"/>
  <c r="D7" i="4" s="1"/>
  <c r="E7" i="4" s="1"/>
  <c r="F7" i="4" s="1"/>
  <c r="G7" i="4" s="1"/>
  <c r="H7" i="4" s="1"/>
  <c r="I7" i="4" s="1"/>
  <c r="J7" i="4" s="1"/>
  <c r="K7" i="4" s="1"/>
  <c r="E12" i="7"/>
  <c r="G23" i="7"/>
  <c r="C14" i="10"/>
  <c r="C10" i="13"/>
  <c r="D23" i="4"/>
  <c r="D10" i="7"/>
  <c r="E3" i="15"/>
  <c r="D3" i="15"/>
  <c r="E14" i="10"/>
  <c r="D9" i="7"/>
  <c r="C38" i="7"/>
  <c r="H5" i="12"/>
  <c r="J5" i="12"/>
  <c r="C6" i="12"/>
  <c r="J6" i="12"/>
  <c r="D5" i="12"/>
  <c r="I5" i="12"/>
  <c r="C5" i="12"/>
  <c r="G6" i="12"/>
  <c r="K5" i="12"/>
  <c r="D15" i="10"/>
  <c r="D16" i="10" s="1"/>
  <c r="D17" i="10" s="1"/>
  <c r="E7" i="18" l="1"/>
  <c r="D5" i="18"/>
  <c r="C17" i="7"/>
  <c r="K32" i="4"/>
  <c r="K33" i="4" s="1"/>
  <c r="K8" i="4" s="1"/>
  <c r="J33" i="4"/>
  <c r="J8" i="4" s="1"/>
  <c r="G6" i="18"/>
  <c r="G28" i="7"/>
  <c r="C11" i="14"/>
  <c r="E11" i="14" s="1"/>
  <c r="C10" i="14"/>
  <c r="E10" i="14" s="1"/>
  <c r="D11" i="14"/>
  <c r="D12" i="14" s="1"/>
  <c r="D13" i="14" s="1"/>
  <c r="C9" i="14"/>
  <c r="E9" i="14" s="1"/>
  <c r="F14" i="10"/>
  <c r="F3" i="15"/>
  <c r="E3" i="19"/>
  <c r="D11" i="4"/>
  <c r="E11" i="4"/>
  <c r="C11" i="4"/>
  <c r="B8" i="18" s="1"/>
  <c r="H23" i="7"/>
  <c r="F12" i="7"/>
  <c r="F3" i="19"/>
  <c r="F11" i="4"/>
  <c r="G11" i="4"/>
  <c r="D11" i="7"/>
  <c r="D38" i="7" s="1"/>
  <c r="E23" i="4"/>
  <c r="E10" i="7"/>
  <c r="D10" i="13"/>
  <c r="C15" i="10"/>
  <c r="F15" i="10" s="1"/>
  <c r="E15" i="10"/>
  <c r="D18" i="10"/>
  <c r="F7" i="18" l="1"/>
  <c r="E5" i="18"/>
  <c r="H6" i="18"/>
  <c r="H28" i="7"/>
  <c r="B15" i="18"/>
  <c r="C45" i="7"/>
  <c r="C12" i="14"/>
  <c r="E12" i="14" s="1"/>
  <c r="C18" i="4" s="1"/>
  <c r="C20" i="4" s="1"/>
  <c r="C44" i="7" s="1"/>
  <c r="D14" i="14"/>
  <c r="C13" i="4"/>
  <c r="C15" i="4" s="1"/>
  <c r="C47" i="7" s="1"/>
  <c r="G13" i="4"/>
  <c r="F4" i="19" s="1"/>
  <c r="F5" i="19" s="1"/>
  <c r="F6" i="19" s="1"/>
  <c r="F8" i="18"/>
  <c r="E13" i="4"/>
  <c r="D4" i="19" s="1"/>
  <c r="D5" i="19" s="1"/>
  <c r="D6" i="19" s="1"/>
  <c r="D8" i="18"/>
  <c r="F13" i="4"/>
  <c r="E4" i="19" s="1"/>
  <c r="E5" i="19" s="1"/>
  <c r="E6" i="19" s="1"/>
  <c r="E8" i="18"/>
  <c r="D13" i="4"/>
  <c r="C4" i="19" s="1"/>
  <c r="C5" i="19" s="1"/>
  <c r="C6" i="19" s="1"/>
  <c r="C8" i="18"/>
  <c r="G12" i="7"/>
  <c r="G3" i="19"/>
  <c r="G3" i="15"/>
  <c r="I23" i="7"/>
  <c r="H11" i="4"/>
  <c r="E9" i="7"/>
  <c r="E11" i="7" s="1"/>
  <c r="E38" i="7" s="1"/>
  <c r="F10" i="7"/>
  <c r="E10" i="13"/>
  <c r="F23" i="4"/>
  <c r="C16" i="10"/>
  <c r="E16" i="10"/>
  <c r="D19" i="10"/>
  <c r="D20" i="10" s="1"/>
  <c r="G7" i="18" l="1"/>
  <c r="F5" i="18"/>
  <c r="C13" i="14"/>
  <c r="C14" i="14" s="1"/>
  <c r="E14" i="14" s="1"/>
  <c r="C46" i="7"/>
  <c r="C48" i="7" s="1"/>
  <c r="I6" i="18"/>
  <c r="I28" i="7"/>
  <c r="B9" i="18"/>
  <c r="B10" i="18" s="1"/>
  <c r="D15" i="14"/>
  <c r="C17" i="10"/>
  <c r="C18" i="10" s="1"/>
  <c r="F16" i="10"/>
  <c r="B4" i="19"/>
  <c r="B5" i="19" s="1"/>
  <c r="B6" i="19" s="1"/>
  <c r="D15" i="4"/>
  <c r="D47" i="7" s="1"/>
  <c r="C22" i="4"/>
  <c r="B7" i="13" s="1"/>
  <c r="B9" i="13" s="1"/>
  <c r="B11" i="13" s="1"/>
  <c r="B13" i="13" s="1"/>
  <c r="B14" i="13" s="1"/>
  <c r="C25" i="4" s="1"/>
  <c r="B11" i="18" s="1"/>
  <c r="H13" i="4"/>
  <c r="G4" i="19" s="1"/>
  <c r="G5" i="19" s="1"/>
  <c r="G6" i="19" s="1"/>
  <c r="G8" i="18"/>
  <c r="K23" i="7"/>
  <c r="K28" i="7" s="1"/>
  <c r="J23" i="7"/>
  <c r="H12" i="7"/>
  <c r="H3" i="19"/>
  <c r="H3" i="15"/>
  <c r="I11" i="4"/>
  <c r="F9" i="7"/>
  <c r="F11" i="7" s="1"/>
  <c r="F38" i="7" s="1"/>
  <c r="G10" i="7"/>
  <c r="F10" i="13"/>
  <c r="G23" i="4"/>
  <c r="E17" i="10"/>
  <c r="E15" i="4"/>
  <c r="E47" i="7" s="1"/>
  <c r="H7" i="18" l="1"/>
  <c r="G5" i="18"/>
  <c r="E13" i="14"/>
  <c r="C21" i="7"/>
  <c r="J6" i="18"/>
  <c r="J28" i="7"/>
  <c r="H23" i="4"/>
  <c r="C15" i="14"/>
  <c r="E15" i="14" s="1"/>
  <c r="D16" i="14"/>
  <c r="D17" i="14" s="1"/>
  <c r="F17" i="10"/>
  <c r="C24" i="4"/>
  <c r="B7" i="19" s="1"/>
  <c r="B12" i="18"/>
  <c r="I13" i="4"/>
  <c r="H4" i="19" s="1"/>
  <c r="H5" i="19" s="1"/>
  <c r="H6" i="19" s="1"/>
  <c r="H8" i="18"/>
  <c r="I3" i="19"/>
  <c r="I12" i="7"/>
  <c r="I3" i="15"/>
  <c r="G9" i="7"/>
  <c r="G11" i="7" s="1"/>
  <c r="H10" i="7"/>
  <c r="G10" i="13"/>
  <c r="C19" i="10"/>
  <c r="E18" i="10"/>
  <c r="E19" i="10" s="1"/>
  <c r="I7" i="18" l="1"/>
  <c r="H5" i="18"/>
  <c r="C16" i="14"/>
  <c r="E16" i="14" s="1"/>
  <c r="D18" i="4" s="1"/>
  <c r="D20" i="4" s="1"/>
  <c r="C39" i="7"/>
  <c r="C40" i="7" s="1"/>
  <c r="C32" i="7"/>
  <c r="D45" i="7"/>
  <c r="C15" i="18"/>
  <c r="D18" i="14"/>
  <c r="D19" i="14" s="1"/>
  <c r="D20" i="14" s="1"/>
  <c r="D21" i="14" s="1"/>
  <c r="F19" i="10"/>
  <c r="C20" i="10"/>
  <c r="K23" i="4" s="1"/>
  <c r="F18" i="10"/>
  <c r="C26" i="4"/>
  <c r="C27" i="4" s="1"/>
  <c r="D8" i="11"/>
  <c r="C22" i="11" s="1"/>
  <c r="J12" i="7"/>
  <c r="G38" i="7"/>
  <c r="H9" i="7"/>
  <c r="H11" i="7" s="1"/>
  <c r="I10" i="7"/>
  <c r="I23" i="4"/>
  <c r="H10" i="13"/>
  <c r="I10" i="13"/>
  <c r="J10" i="7"/>
  <c r="J23" i="4"/>
  <c r="E16" i="11"/>
  <c r="C25" i="11" s="1"/>
  <c r="E20" i="10"/>
  <c r="J10" i="13" s="1"/>
  <c r="F15" i="4"/>
  <c r="F47" i="7" s="1"/>
  <c r="J7" i="18" l="1"/>
  <c r="I5" i="18"/>
  <c r="C17" i="14"/>
  <c r="E17" i="14" s="1"/>
  <c r="E45" i="7"/>
  <c r="D15" i="18"/>
  <c r="B13" i="18"/>
  <c r="D22" i="14"/>
  <c r="F20" i="10"/>
  <c r="B8" i="19"/>
  <c r="C23" i="11"/>
  <c r="C26" i="11" s="1"/>
  <c r="C27" i="11" s="1"/>
  <c r="E8" i="11"/>
  <c r="E9" i="11" s="1"/>
  <c r="D22" i="4"/>
  <c r="D44" i="7"/>
  <c r="D46" i="7" s="1"/>
  <c r="D48" i="7" s="1"/>
  <c r="C9" i="18"/>
  <c r="K12" i="7"/>
  <c r="J5" i="18" s="1"/>
  <c r="J3" i="19"/>
  <c r="H38" i="7"/>
  <c r="I9" i="7"/>
  <c r="I11" i="7" s="1"/>
  <c r="J9" i="7" s="1"/>
  <c r="J11" i="7" s="1"/>
  <c r="K10" i="7"/>
  <c r="C18" i="14" l="1"/>
  <c r="E18" i="14" s="1"/>
  <c r="D21" i="7"/>
  <c r="B22" i="18"/>
  <c r="B14" i="18"/>
  <c r="B16" i="18" s="1"/>
  <c r="C4" i="18" s="1"/>
  <c r="C10" i="18" s="1"/>
  <c r="C28" i="4"/>
  <c r="C18" i="7" s="1"/>
  <c r="C20" i="7" s="1"/>
  <c r="C24" i="7" s="1"/>
  <c r="D23" i="14"/>
  <c r="D39" i="7"/>
  <c r="D40" i="7" s="1"/>
  <c r="D32" i="7"/>
  <c r="D24" i="4"/>
  <c r="C7" i="13"/>
  <c r="C9" i="13" s="1"/>
  <c r="C11" i="13" s="1"/>
  <c r="C13" i="13" s="1"/>
  <c r="C14" i="13" s="1"/>
  <c r="D25" i="4" s="1"/>
  <c r="C11" i="18" s="1"/>
  <c r="I38" i="7"/>
  <c r="I40" i="7" s="1"/>
  <c r="J38" i="7"/>
  <c r="J40" i="7" s="1"/>
  <c r="K9" i="7"/>
  <c r="K11" i="7" s="1"/>
  <c r="K38" i="7" s="1"/>
  <c r="K40" i="7" s="1"/>
  <c r="G15" i="4"/>
  <c r="G47" i="7" s="1"/>
  <c r="C13" i="7" l="1"/>
  <c r="C27" i="7" s="1"/>
  <c r="C29" i="7" s="1"/>
  <c r="D17" i="7"/>
  <c r="C19" i="14"/>
  <c r="E19" i="14" s="1"/>
  <c r="B23" i="18"/>
  <c r="B26" i="18" s="1"/>
  <c r="B25" i="18"/>
  <c r="C33" i="7"/>
  <c r="C34" i="7" s="1"/>
  <c r="D24" i="14"/>
  <c r="D25" i="14" s="1"/>
  <c r="C7" i="19"/>
  <c r="D26" i="4"/>
  <c r="D27" i="4" s="1"/>
  <c r="C12" i="18"/>
  <c r="C20" i="18"/>
  <c r="C14" i="7" l="1"/>
  <c r="C20" i="14"/>
  <c r="E20" i="14" s="1"/>
  <c r="F45" i="7"/>
  <c r="E15" i="18"/>
  <c r="D26" i="14"/>
  <c r="D27" i="14" s="1"/>
  <c r="D28" i="14" s="1"/>
  <c r="D29" i="14" s="1"/>
  <c r="E18" i="4"/>
  <c r="E20" i="4" s="1"/>
  <c r="C8" i="19"/>
  <c r="C13" i="18"/>
  <c r="C22" i="18" s="1"/>
  <c r="C23" i="18" s="1"/>
  <c r="C21" i="18"/>
  <c r="H15" i="4"/>
  <c r="H47" i="7" s="1"/>
  <c r="C21" i="14" l="1"/>
  <c r="E21" i="14" s="1"/>
  <c r="G45" i="7"/>
  <c r="F15" i="18"/>
  <c r="D30" i="14"/>
  <c r="D31" i="14" s="1"/>
  <c r="D32" i="14" s="1"/>
  <c r="D33" i="14" s="1"/>
  <c r="C26" i="18"/>
  <c r="D28" i="4"/>
  <c r="D18" i="7" s="1"/>
  <c r="D20" i="7" s="1"/>
  <c r="D24" i="7" s="1"/>
  <c r="C25" i="18"/>
  <c r="C14" i="18"/>
  <c r="C16" i="18" s="1"/>
  <c r="D13" i="7" s="1"/>
  <c r="D27" i="7" s="1"/>
  <c r="D29" i="7" s="1"/>
  <c r="E21" i="7"/>
  <c r="D9" i="18"/>
  <c r="E22" i="4"/>
  <c r="E44" i="7"/>
  <c r="E46" i="7" s="1"/>
  <c r="E48" i="7" s="1"/>
  <c r="C22" i="14" l="1"/>
  <c r="E22" i="14" s="1"/>
  <c r="D34" i="14"/>
  <c r="D35" i="14" s="1"/>
  <c r="D36" i="14" s="1"/>
  <c r="H15" i="18" s="1"/>
  <c r="G15" i="18"/>
  <c r="H45" i="7"/>
  <c r="E17" i="7"/>
  <c r="D33" i="7"/>
  <c r="D34" i="7" s="1"/>
  <c r="D14" i="7"/>
  <c r="D4" i="18"/>
  <c r="D10" i="18" s="1"/>
  <c r="E39" i="7"/>
  <c r="E40" i="7" s="1"/>
  <c r="E32" i="7"/>
  <c r="C23" i="14"/>
  <c r="E23" i="14" s="1"/>
  <c r="E24" i="4"/>
  <c r="D7" i="13"/>
  <c r="D9" i="13" s="1"/>
  <c r="D11" i="13" s="1"/>
  <c r="D13" i="13" s="1"/>
  <c r="D14" i="13" s="1"/>
  <c r="E25" i="4" s="1"/>
  <c r="D11" i="18" s="1"/>
  <c r="I15" i="4"/>
  <c r="I47" i="7" s="1"/>
  <c r="I45" i="7" l="1"/>
  <c r="D20" i="18"/>
  <c r="D21" i="18" s="1"/>
  <c r="D12" i="18"/>
  <c r="C24" i="14"/>
  <c r="E24" i="14" s="1"/>
  <c r="D7" i="19"/>
  <c r="E26" i="4"/>
  <c r="E27" i="4" s="1"/>
  <c r="D8" i="19" l="1"/>
  <c r="D13" i="18"/>
  <c r="F18" i="4"/>
  <c r="F20" i="4" s="1"/>
  <c r="C25" i="14"/>
  <c r="E25" i="14" s="1"/>
  <c r="J11" i="4"/>
  <c r="K11" i="4"/>
  <c r="E28" i="4" l="1"/>
  <c r="E18" i="7" s="1"/>
  <c r="E20" i="7" s="1"/>
  <c r="E33" i="7" s="1"/>
  <c r="E34" i="7" s="1"/>
  <c r="F21" i="7"/>
  <c r="C26" i="14"/>
  <c r="E26" i="14" s="1"/>
  <c r="E9" i="18"/>
  <c r="F44" i="7"/>
  <c r="F46" i="7" s="1"/>
  <c r="F48" i="7" s="1"/>
  <c r="F22" i="4"/>
  <c r="D22" i="18"/>
  <c r="D14" i="18"/>
  <c r="D16" i="18" s="1"/>
  <c r="J13" i="4"/>
  <c r="I4" i="19" s="1"/>
  <c r="I5" i="19" s="1"/>
  <c r="I6" i="19" s="1"/>
  <c r="I8" i="18"/>
  <c r="K13" i="4"/>
  <c r="J4" i="19" s="1"/>
  <c r="J5" i="19" s="1"/>
  <c r="J6" i="19" s="1"/>
  <c r="J8" i="18"/>
  <c r="J3" i="15"/>
  <c r="K3" i="15"/>
  <c r="J15" i="4" l="1"/>
  <c r="J22" i="4" s="1"/>
  <c r="E24" i="7"/>
  <c r="F17" i="7"/>
  <c r="F24" i="4"/>
  <c r="E7" i="13"/>
  <c r="E9" i="13" s="1"/>
  <c r="E11" i="13" s="1"/>
  <c r="E13" i="13" s="1"/>
  <c r="E14" i="13" s="1"/>
  <c r="F25" i="4" s="1"/>
  <c r="E11" i="18" s="1"/>
  <c r="E13" i="7"/>
  <c r="E4" i="18"/>
  <c r="D23" i="18"/>
  <c r="D26" i="18" s="1"/>
  <c r="D25" i="18"/>
  <c r="C27" i="14"/>
  <c r="E27" i="14" s="1"/>
  <c r="F39" i="7"/>
  <c r="F40" i="7" s="1"/>
  <c r="F32" i="7"/>
  <c r="K15" i="4"/>
  <c r="J47" i="7" l="1"/>
  <c r="J48" i="7" s="1"/>
  <c r="C28" i="14"/>
  <c r="E28" i="14" s="1"/>
  <c r="E10" i="18"/>
  <c r="E12" i="18" s="1"/>
  <c r="E20" i="18"/>
  <c r="E21" i="18" s="1"/>
  <c r="E14" i="7"/>
  <c r="E27" i="7"/>
  <c r="E29" i="7" s="1"/>
  <c r="E7" i="19"/>
  <c r="F26" i="4"/>
  <c r="F27" i="4" s="1"/>
  <c r="I7" i="13"/>
  <c r="I9" i="13" s="1"/>
  <c r="I11" i="13" s="1"/>
  <c r="I13" i="13" s="1"/>
  <c r="I14" i="13" s="1"/>
  <c r="J25" i="4" s="1"/>
  <c r="I11" i="18" s="1"/>
  <c r="J24" i="4"/>
  <c r="I7" i="19" s="1"/>
  <c r="K22" i="4"/>
  <c r="K24" i="4" s="1"/>
  <c r="J7" i="19" s="1"/>
  <c r="K47" i="7"/>
  <c r="K48" i="7" s="1"/>
  <c r="G18" i="4" l="1"/>
  <c r="G20" i="4" s="1"/>
  <c r="G21" i="7"/>
  <c r="C29" i="14"/>
  <c r="E29" i="14" s="1"/>
  <c r="E8" i="19"/>
  <c r="J26" i="4"/>
  <c r="J27" i="4" s="1"/>
  <c r="J7" i="13"/>
  <c r="J9" i="13" s="1"/>
  <c r="J11" i="13" s="1"/>
  <c r="J13" i="13" s="1"/>
  <c r="J14" i="13" s="1"/>
  <c r="K25" i="4" s="1"/>
  <c r="F28" i="4" l="1"/>
  <c r="F18" i="7" s="1"/>
  <c r="F20" i="7" s="1"/>
  <c r="E13" i="18"/>
  <c r="G32" i="7"/>
  <c r="G39" i="7"/>
  <c r="G40" i="7" s="1"/>
  <c r="C30" i="14"/>
  <c r="E30" i="14" s="1"/>
  <c r="F9" i="18"/>
  <c r="G44" i="7"/>
  <c r="G46" i="7" s="1"/>
  <c r="G48" i="7" s="1"/>
  <c r="F49" i="7" s="1"/>
  <c r="G22" i="4"/>
  <c r="J28" i="4"/>
  <c r="J18" i="7" s="1"/>
  <c r="I8" i="19"/>
  <c r="K26" i="4"/>
  <c r="K27" i="4" s="1"/>
  <c r="J11" i="18"/>
  <c r="C31" i="14" l="1"/>
  <c r="E31" i="14" s="1"/>
  <c r="E22" i="18"/>
  <c r="E14" i="18"/>
  <c r="E16" i="18" s="1"/>
  <c r="G24" i="4"/>
  <c r="F7" i="13"/>
  <c r="F9" i="13" s="1"/>
  <c r="F11" i="13" s="1"/>
  <c r="F13" i="13" s="1"/>
  <c r="F14" i="13" s="1"/>
  <c r="G25" i="4" s="1"/>
  <c r="F11" i="18" s="1"/>
  <c r="F24" i="7"/>
  <c r="F33" i="7"/>
  <c r="F34" i="7" s="1"/>
  <c r="G17" i="7"/>
  <c r="I13" i="18"/>
  <c r="I22" i="18" s="1"/>
  <c r="I23" i="18" s="1"/>
  <c r="J13" i="18"/>
  <c r="J22" i="18" s="1"/>
  <c r="J23" i="18" s="1"/>
  <c r="J8" i="19"/>
  <c r="F7" i="19" l="1"/>
  <c r="G26" i="4"/>
  <c r="G27" i="4" s="1"/>
  <c r="F13" i="7"/>
  <c r="F4" i="18"/>
  <c r="E23" i="18"/>
  <c r="E26" i="18" s="1"/>
  <c r="E25" i="18"/>
  <c r="C32" i="14"/>
  <c r="E32" i="14" s="1"/>
  <c r="K28" i="4"/>
  <c r="K18" i="7" s="1"/>
  <c r="F20" i="18" l="1"/>
  <c r="F10" i="18"/>
  <c r="F12" i="18" s="1"/>
  <c r="F27" i="7"/>
  <c r="F29" i="7" s="1"/>
  <c r="F14" i="7"/>
  <c r="F13" i="18"/>
  <c r="F22" i="18" s="1"/>
  <c r="F23" i="18" s="1"/>
  <c r="F8" i="19"/>
  <c r="H18" i="4"/>
  <c r="H20" i="4" s="1"/>
  <c r="H21" i="7"/>
  <c r="C33" i="14"/>
  <c r="E33" i="14" s="1"/>
  <c r="F14" i="18" l="1"/>
  <c r="F16" i="18" s="1"/>
  <c r="G13" i="7" s="1"/>
  <c r="G9" i="18"/>
  <c r="H22" i="4"/>
  <c r="H44" i="7"/>
  <c r="H46" i="7" s="1"/>
  <c r="H48" i="7" s="1"/>
  <c r="G28" i="4"/>
  <c r="G18" i="7" s="1"/>
  <c r="G20" i="7" s="1"/>
  <c r="C34" i="14"/>
  <c r="E34" i="14" s="1"/>
  <c r="H32" i="7"/>
  <c r="H39" i="7"/>
  <c r="H40" i="7" s="1"/>
  <c r="F41" i="7" s="1"/>
  <c r="F21" i="18"/>
  <c r="F26" i="18" s="1"/>
  <c r="F25" i="18"/>
  <c r="G4" i="18" l="1"/>
  <c r="G10" i="18" s="1"/>
  <c r="C35" i="14"/>
  <c r="E35" i="14" s="1"/>
  <c r="G14" i="7"/>
  <c r="G27" i="7"/>
  <c r="G29" i="7" s="1"/>
  <c r="G24" i="7"/>
  <c r="G33" i="7"/>
  <c r="G34" i="7" s="1"/>
  <c r="H17" i="7"/>
  <c r="H24" i="4"/>
  <c r="G7" i="13"/>
  <c r="G9" i="13" s="1"/>
  <c r="G11" i="13" s="1"/>
  <c r="G13" i="13" s="1"/>
  <c r="G14" i="13" s="1"/>
  <c r="H25" i="4" s="1"/>
  <c r="G11" i="18" s="1"/>
  <c r="G20" i="18" l="1"/>
  <c r="G21" i="18" s="1"/>
  <c r="G12" i="18"/>
  <c r="C36" i="14"/>
  <c r="E36" i="14" s="1"/>
  <c r="I18" i="4" s="1"/>
  <c r="I20" i="4" s="1"/>
  <c r="G7" i="19"/>
  <c r="H26" i="4"/>
  <c r="H27" i="4" s="1"/>
  <c r="G13" i="18" l="1"/>
  <c r="G8" i="19"/>
  <c r="I22" i="4"/>
  <c r="H9" i="18"/>
  <c r="I44" i="7"/>
  <c r="I46" i="7" s="1"/>
  <c r="I48" i="7" s="1"/>
  <c r="H28" i="4" l="1"/>
  <c r="H18" i="7" s="1"/>
  <c r="H20" i="7" s="1"/>
  <c r="H24" i="7" s="1"/>
  <c r="I24" i="4"/>
  <c r="H7" i="13"/>
  <c r="H9" i="13" s="1"/>
  <c r="H11" i="13" s="1"/>
  <c r="H13" i="13" s="1"/>
  <c r="H14" i="13" s="1"/>
  <c r="I25" i="4" s="1"/>
  <c r="H11" i="18" s="1"/>
  <c r="G14" i="18"/>
  <c r="G16" i="18" s="1"/>
  <c r="G22" i="18"/>
  <c r="H33" i="7" l="1"/>
  <c r="H34" i="7" s="1"/>
  <c r="I17" i="7"/>
  <c r="G23" i="18"/>
  <c r="G26" i="18" s="1"/>
  <c r="G25" i="18"/>
  <c r="H13" i="7"/>
  <c r="H4" i="18"/>
  <c r="H7" i="19"/>
  <c r="I26" i="4"/>
  <c r="I27" i="4" s="1"/>
  <c r="H13" i="18" l="1"/>
  <c r="H22" i="18" s="1"/>
  <c r="H23" i="18" s="1"/>
  <c r="H8" i="19"/>
  <c r="H20" i="18"/>
  <c r="H10" i="18"/>
  <c r="H12" i="18" s="1"/>
  <c r="H14" i="7"/>
  <c r="H27" i="7"/>
  <c r="H29" i="7" s="1"/>
  <c r="H14" i="18" l="1"/>
  <c r="H16" i="18" s="1"/>
  <c r="I4" i="18" s="1"/>
  <c r="I28" i="4"/>
  <c r="I18" i="7" s="1"/>
  <c r="I20" i="7" s="1"/>
  <c r="I24" i="7" s="1"/>
  <c r="H21" i="18"/>
  <c r="H26" i="18" s="1"/>
  <c r="H25" i="18"/>
  <c r="I33" i="7" l="1"/>
  <c r="I34" i="7" s="1"/>
  <c r="J17" i="7"/>
  <c r="J20" i="7" s="1"/>
  <c r="J24" i="7" s="1"/>
  <c r="I13" i="7"/>
  <c r="I14" i="7" s="1"/>
  <c r="I20" i="18"/>
  <c r="I10" i="18"/>
  <c r="I12" i="18" s="1"/>
  <c r="I14" i="18" s="1"/>
  <c r="I16" i="18" s="1"/>
  <c r="K17" i="7" l="1"/>
  <c r="K20" i="7" s="1"/>
  <c r="K33" i="7" s="1"/>
  <c r="K34" i="7" s="1"/>
  <c r="J33" i="7"/>
  <c r="J34" i="7" s="1"/>
  <c r="I27" i="7"/>
  <c r="I29" i="7" s="1"/>
  <c r="J4" i="18"/>
  <c r="J13" i="7"/>
  <c r="I21" i="18"/>
  <c r="I26" i="18" s="1"/>
  <c r="I25" i="18"/>
  <c r="K24" i="7" l="1"/>
  <c r="F35" i="7"/>
  <c r="J14" i="7"/>
  <c r="J27" i="7"/>
  <c r="J29" i="7" s="1"/>
  <c r="J10" i="18"/>
  <c r="J12" i="18" s="1"/>
  <c r="J14" i="18" s="1"/>
  <c r="J16" i="18" s="1"/>
  <c r="K13" i="7" s="1"/>
  <c r="J20" i="18"/>
  <c r="J25" i="18" l="1"/>
  <c r="J21" i="18"/>
  <c r="J26" i="18" s="1"/>
  <c r="K26" i="18" s="1"/>
  <c r="K14" i="7"/>
  <c r="K27" i="7"/>
  <c r="K29" i="7" s="1"/>
  <c r="F30" i="7" s="1"/>
</calcChain>
</file>

<file path=xl/sharedStrings.xml><?xml version="1.0" encoding="utf-8"?>
<sst xmlns="http://schemas.openxmlformats.org/spreadsheetml/2006/main" count="375" uniqueCount="268">
  <si>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</si>
  <si>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</si>
  <si>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</si>
  <si>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</si>
  <si>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</si>
  <si>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</si>
  <si>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</si>
  <si>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</si>
  <si>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</si>
  <si>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</si>
  <si>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</si>
  <si>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</si>
  <si>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</si>
  <si>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</si>
  <si>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</si>
  <si>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</si>
  <si>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</si>
  <si>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</si>
  <si>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</si>
  <si>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</si>
  <si>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</si>
  <si>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</si>
  <si>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</si>
  <si>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</si>
  <si>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</si>
  <si>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</si>
  <si>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</si>
  <si>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</si>
  <si>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</si>
  <si>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</si>
  <si>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</si>
  <si>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Complete Estimate of Civil and plant and machinery</t>
  </si>
  <si>
    <t>1. Civil work and other</t>
  </si>
  <si>
    <t>Boundary</t>
  </si>
  <si>
    <t>Area/ capacity</t>
  </si>
  <si>
    <t>Units</t>
  </si>
  <si>
    <t>Rate</t>
  </si>
  <si>
    <t>Amt</t>
  </si>
  <si>
    <t>Total (Civil work)</t>
  </si>
  <si>
    <t>2. Plant and machinery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</si>
  <si>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</si>
  <si>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</si>
  <si>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</si>
  <si>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</si>
  <si>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</si>
  <si>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</si>
  <si>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</si>
  <si>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</si>
  <si>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</si>
  <si>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</si>
  <si>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</si>
  <si>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</si>
  <si>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</si>
  <si>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</si>
  <si>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</si>
  <si>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</si>
  <si>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</si>
  <si>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</si>
  <si>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</si>
  <si>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</si>
  <si>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</si>
  <si>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</si>
  <si>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i.</t>
  </si>
  <si>
    <t>ii.</t>
  </si>
  <si>
    <t>Labour</t>
  </si>
  <si>
    <t>Total annual wages</t>
  </si>
  <si>
    <t>Annual increase in wages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</si>
  <si>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</si>
  <si>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</si>
  <si>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</si>
  <si>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</si>
  <si>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</si>
  <si>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</si>
  <si>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</si>
  <si>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</si>
  <si>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</si>
  <si>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</si>
  <si>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</si>
  <si>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Variable cost</t>
  </si>
  <si>
    <t>- Interest on Working capital</t>
  </si>
  <si>
    <t>Contribution</t>
  </si>
  <si>
    <t>Less: fixed cost</t>
  </si>
  <si>
    <t>Wages and salaries</t>
  </si>
  <si>
    <t>- electricity expense</t>
  </si>
  <si>
    <t>Depreciation</t>
  </si>
  <si>
    <t>Office Electricity expense</t>
  </si>
  <si>
    <t>FC</t>
  </si>
  <si>
    <t>Fixed cost</t>
  </si>
  <si>
    <t>Contribution per unit</t>
  </si>
  <si>
    <t>Electricity charges</t>
  </si>
  <si>
    <t>Interest on Working capital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</si>
  <si>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</si>
  <si>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</si>
  <si>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</si>
  <si>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</si>
  <si>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</si>
  <si>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</si>
  <si>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</si>
  <si>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</si>
  <si>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</si>
  <si>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</si>
  <si>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</si>
  <si>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</si>
  <si>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</si>
  <si>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</si>
  <si>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</si>
  <si>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</si>
  <si>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</si>
  <si>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</si>
  <si>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</si>
  <si>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</si>
  <si>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</si>
  <si>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</si>
  <si>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</si>
  <si>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</si>
  <si>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</si>
  <si>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</si>
  <si>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</si>
  <si>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</si>
  <si>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</si>
  <si>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</si>
  <si>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</si>
  <si>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</si>
  <si>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</si>
  <si>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</si>
  <si>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</si>
  <si>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</si>
  <si>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</si>
  <si>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</si>
  <si>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</si>
  <si>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</si>
  <si>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</si>
  <si>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</si>
  <si>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</si>
  <si>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</si>
  <si>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</si>
  <si>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</si>
  <si>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</si>
  <si>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</si>
  <si>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</si>
  <si>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</si>
  <si>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Total liabilities</t>
  </si>
  <si>
    <t>Total assets</t>
  </si>
  <si>
    <t>Current Ratio</t>
  </si>
  <si>
    <t>Current Assets</t>
  </si>
  <si>
    <t>Current Liabilities</t>
  </si>
  <si>
    <t>1. asssumed that 90 days of purchases are average creditors maintained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</si>
  <si>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</si>
  <si>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</si>
  <si>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</si>
  <si>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</si>
  <si>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</si>
  <si>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</si>
  <si>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</si>
  <si>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</si>
  <si>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</si>
  <si>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</si>
  <si>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</si>
  <si>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</si>
  <si>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</si>
  <si>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</si>
  <si>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</si>
  <si>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</si>
  <si>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</si>
  <si>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Average</t>
  </si>
  <si>
    <t>Fixed asset coverage ratio</t>
  </si>
  <si>
    <t>Fixed assets</t>
  </si>
  <si>
    <t>6 months</t>
  </si>
  <si>
    <t>2. Electricity usage in units is given below</t>
  </si>
  <si>
    <t>Stationery expense</t>
  </si>
  <si>
    <t>Electricity Expense</t>
  </si>
  <si>
    <t>Annexure 8 - Details of Mnpower</t>
  </si>
  <si>
    <t>Details of Manpower</t>
  </si>
  <si>
    <t>Security</t>
  </si>
  <si>
    <t>Creditors</t>
  </si>
  <si>
    <t>Total manpower</t>
  </si>
  <si>
    <t>Add: Sales realizations</t>
  </si>
  <si>
    <t>Less: Interest payments</t>
  </si>
  <si>
    <t>Working capital</t>
  </si>
  <si>
    <t>Interest on WC Loan</t>
  </si>
  <si>
    <t>Less: Payment made to creditors of previos year</t>
  </si>
  <si>
    <t>Add: Receipts from debtors of previos year</t>
  </si>
  <si>
    <t>Less: Payments made for current year purchase</t>
  </si>
  <si>
    <t>Income tax</t>
  </si>
  <si>
    <t>Distrucutions made from profits</t>
  </si>
  <si>
    <t>Less: Principal repayment of loan</t>
  </si>
  <si>
    <t>Opening cash Balance</t>
  </si>
  <si>
    <t>Closing cash balance</t>
  </si>
  <si>
    <t>Turnover</t>
  </si>
  <si>
    <t>Cost Of operations</t>
  </si>
  <si>
    <t>Gross profit</t>
  </si>
  <si>
    <t>EBITDA</t>
  </si>
  <si>
    <t>Profit before tax</t>
  </si>
  <si>
    <t>Profit after tax</t>
  </si>
  <si>
    <t>Rs. per kg</t>
  </si>
  <si>
    <t>Usage in units</t>
  </si>
  <si>
    <t>Inflows</t>
  </si>
  <si>
    <t>Outflows</t>
  </si>
  <si>
    <t>Net cash inflow</t>
  </si>
  <si>
    <t>PVF</t>
  </si>
  <si>
    <t>PV dicounting rate</t>
  </si>
  <si>
    <t>PV of Inflows</t>
  </si>
  <si>
    <t>PV of Outflows</t>
  </si>
  <si>
    <t>Net Present value</t>
  </si>
  <si>
    <t>BEP in kgs</t>
  </si>
  <si>
    <t>BEP %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</si>
  <si>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</si>
  <si>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</si>
  <si>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</si>
  <si>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</si>
  <si>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</si>
  <si>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</si>
  <si>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</si>
  <si>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</si>
  <si>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8'!A1</t>
  </si>
  <si>
    <t>Ann 9'!A1</t>
  </si>
  <si>
    <t>Ann 10'!A1</t>
  </si>
  <si>
    <t>Ann 11'!A1</t>
  </si>
  <si>
    <t>Ann 13'!A1</t>
  </si>
  <si>
    <t>Assumptions!A1</t>
  </si>
  <si>
    <t>Assumptions</t>
  </si>
  <si>
    <t>Electricity usage in units is given below</t>
  </si>
  <si>
    <t>DPR Without subsidy</t>
  </si>
  <si>
    <t>Break even capacity at maximum capacity utilization</t>
  </si>
  <si>
    <t>Annexure 14 - Cash Flow operations</t>
  </si>
  <si>
    <t>Stainless steel grain storage Silo</t>
  </si>
  <si>
    <t>Capacity</t>
  </si>
  <si>
    <t>upto 250 tons</t>
  </si>
  <si>
    <t>Elevator belts</t>
  </si>
  <si>
    <t>Moisture meter</t>
  </si>
  <si>
    <t>Sampling probes</t>
  </si>
  <si>
    <t>Ann 14'!A1</t>
  </si>
  <si>
    <t>Washing tank</t>
  </si>
  <si>
    <t>Grain grading machine</t>
  </si>
  <si>
    <t>Automatic packaging machine</t>
  </si>
  <si>
    <t>Funigation gun</t>
  </si>
  <si>
    <t>Others (stablizers, office eqipments etc.)</t>
  </si>
  <si>
    <t>Collection platform</t>
  </si>
  <si>
    <t>Weighing balance</t>
  </si>
  <si>
    <t xml:space="preserve">Office construction </t>
  </si>
  <si>
    <t>4000 sq ft</t>
  </si>
  <si>
    <t>Fumigation expense</t>
  </si>
  <si>
    <t>Sales Budget</t>
  </si>
  <si>
    <t>Estimated ocupational capacity</t>
  </si>
  <si>
    <t>Revenue in Rs.</t>
  </si>
  <si>
    <t>Estimation of Production capacity</t>
  </si>
  <si>
    <t>Per annum capacity in kgs</t>
  </si>
  <si>
    <t>Operational days</t>
  </si>
  <si>
    <t>Products</t>
  </si>
  <si>
    <t>Production at 100% capacity</t>
  </si>
  <si>
    <t>Output</t>
  </si>
  <si>
    <t>360 dys</t>
  </si>
  <si>
    <t>Storage capacity (kgs)</t>
  </si>
  <si>
    <t>Annual cost</t>
  </si>
  <si>
    <t>Storage and grain grading charges per ton per month</t>
  </si>
  <si>
    <t>1. Silos electricity expense are semi-fixed cost. Rs. 50,000 pa is fixed, balance is variable at Rs. 10 per unit usage</t>
  </si>
  <si>
    <t>Distribution of profits (50%)</t>
  </si>
  <si>
    <t>3. Stationery expense is fixed at Rs. 15,000</t>
  </si>
  <si>
    <t>Assumed that 1000 ton is storage capacity</t>
  </si>
  <si>
    <t>4. Revenue is Rs. 105 per MT per month which increase at 10% per annum</t>
  </si>
  <si>
    <t>It is assumed that storage and grading charges for grains are Rs. 105 ker mt per month, which shall increase @ 10% per annum</t>
  </si>
  <si>
    <t>Fumigation</t>
  </si>
  <si>
    <t>Stationery</t>
  </si>
  <si>
    <t>Silos electricity expense are semi-fixed cost. Rs. 50,000 pa is fixed, balance is variable at Rs. 10 per unit usage</t>
  </si>
  <si>
    <t>Stationery expense is fixed at Rs. 15,000</t>
  </si>
  <si>
    <t>Revenue is Rs. 105 per MT per month which increase at 10% per annum</t>
  </si>
  <si>
    <t>Capacity utilization in year I is 90% which will increase 5% annually after every 2 years</t>
  </si>
  <si>
    <t>5. Capacity utilization in year I is 90% which will increase 5% annually after every 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</si>
</sst>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_);_(* \(#,##0.0\);_(* &quot;-&quot;?_);_(@_)"/>
    <numFmt numFmtId="168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dobe Devanagari"/>
      <family val="1"/>
    </font>
    <font>
      <sz val="11"/>
      <color theme="1"/>
      <name val="Adobe Devanagari"/>
      <family val="1"/>
    </font>
    <font>
      <u/>
      <sz val="11"/>
      <color theme="10"/>
      <name val="Adobe Devanagari"/>
      <family val="1"/>
    </font>
    <font>
      <u/>
      <sz val="11"/>
      <color theme="1"/>
      <name val="Adobe Devanagari"/>
      <family val="1"/>
    </font>
    <font>
      <b/>
      <u/>
      <sz val="11"/>
      <color theme="1"/>
      <name val="Adobe Devanagari"/>
      <family val="1"/>
    </font>
    <font>
      <sz val="11"/>
      <color theme="0"/>
      <name val="Adobe Devanagari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2" fontId="0" fillId="0" borderId="0" xfId="0" applyNumberFormat="1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3" quotePrefix="1" applyFont="1" applyBorder="1"/>
    <xf numFmtId="0" fontId="5" fillId="0" borderId="1" xfId="3" applyFont="1" applyBorder="1"/>
    <xf numFmtId="0" fontId="3" fillId="4" borderId="1" xfId="0" applyFont="1" applyFill="1" applyBorder="1"/>
    <xf numFmtId="0" fontId="3" fillId="0" borderId="0" xfId="0" applyFont="1" applyBorder="1"/>
    <xf numFmtId="0" fontId="4" fillId="0" borderId="0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9" xfId="0" applyFont="1" applyBorder="1"/>
    <xf numFmtId="43" fontId="4" fillId="0" borderId="9" xfId="1" applyFont="1" applyBorder="1"/>
    <xf numFmtId="43" fontId="4" fillId="0" borderId="9" xfId="1" applyNumberFormat="1" applyFont="1" applyBorder="1"/>
    <xf numFmtId="43" fontId="4" fillId="0" borderId="9" xfId="0" applyNumberFormat="1" applyFont="1" applyBorder="1"/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0" fontId="4" fillId="0" borderId="12" xfId="0" applyFont="1" applyBorder="1"/>
    <xf numFmtId="43" fontId="4" fillId="0" borderId="10" xfId="0" applyNumberFormat="1" applyFont="1" applyBorder="1"/>
    <xf numFmtId="0" fontId="4" fillId="0" borderId="0" xfId="0" applyFont="1" applyAlignment="1">
      <alignment horizontal="left"/>
    </xf>
    <xf numFmtId="0" fontId="4" fillId="4" borderId="1" xfId="0" applyFont="1" applyFill="1" applyBorder="1"/>
    <xf numFmtId="0" fontId="7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1" xfId="0" applyFont="1" applyFill="1" applyBorder="1" applyAlignment="1">
      <alignment wrapText="1"/>
    </xf>
    <xf numFmtId="0" fontId="4" fillId="0" borderId="8" xfId="0" applyFont="1" applyBorder="1"/>
    <xf numFmtId="10" fontId="4" fillId="0" borderId="0" xfId="2" applyNumberFormat="1" applyFont="1"/>
    <xf numFmtId="2" fontId="4" fillId="0" borderId="0" xfId="0" applyNumberFormat="1" applyFont="1"/>
    <xf numFmtId="43" fontId="4" fillId="0" borderId="0" xfId="0" applyNumberFormat="1" applyFont="1"/>
    <xf numFmtId="0" fontId="4" fillId="0" borderId="2" xfId="0" applyFont="1" applyBorder="1"/>
    <xf numFmtId="0" fontId="4" fillId="0" borderId="3" xfId="0" applyFont="1" applyBorder="1"/>
    <xf numFmtId="43" fontId="4" fillId="0" borderId="4" xfId="0" applyNumberFormat="1" applyFont="1" applyBorder="1"/>
    <xf numFmtId="0" fontId="3" fillId="4" borderId="2" xfId="0" applyFont="1" applyFill="1" applyBorder="1"/>
    <xf numFmtId="164" fontId="4" fillId="0" borderId="1" xfId="0" applyNumberFormat="1" applyFont="1" applyBorder="1"/>
    <xf numFmtId="0" fontId="4" fillId="0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5" xfId="0" applyFont="1" applyBorder="1"/>
    <xf numFmtId="0" fontId="3" fillId="0" borderId="6" xfId="0" applyFont="1" applyBorder="1"/>
    <xf numFmtId="0" fontId="4" fillId="0" borderId="15" xfId="0" applyFont="1" applyBorder="1"/>
    <xf numFmtId="0" fontId="4" fillId="0" borderId="7" xfId="0" applyFont="1" applyBorder="1"/>
    <xf numFmtId="164" fontId="4" fillId="0" borderId="11" xfId="0" applyNumberFormat="1" applyFont="1" applyBorder="1"/>
    <xf numFmtId="43" fontId="4" fillId="0" borderId="11" xfId="0" applyNumberFormat="1" applyFont="1" applyBorder="1"/>
    <xf numFmtId="164" fontId="4" fillId="0" borderId="11" xfId="1" applyNumberFormat="1" applyFont="1" applyBorder="1"/>
    <xf numFmtId="164" fontId="4" fillId="0" borderId="9" xfId="0" applyNumberFormat="1" applyFont="1" applyBorder="1"/>
    <xf numFmtId="164" fontId="4" fillId="0" borderId="9" xfId="1" applyNumberFormat="1" applyFont="1" applyBorder="1"/>
    <xf numFmtId="0" fontId="4" fillId="0" borderId="0" xfId="0" applyFont="1" applyFill="1" applyBorder="1"/>
    <xf numFmtId="164" fontId="4" fillId="0" borderId="8" xfId="0" applyNumberFormat="1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0" xfId="0" applyFont="1" applyBorder="1"/>
    <xf numFmtId="164" fontId="4" fillId="0" borderId="0" xfId="0" applyNumberFormat="1" applyFont="1"/>
    <xf numFmtId="0" fontId="6" fillId="0" borderId="0" xfId="0" applyFont="1"/>
    <xf numFmtId="164" fontId="4" fillId="0" borderId="1" xfId="1" applyNumberFormat="1" applyFont="1" applyBorder="1"/>
    <xf numFmtId="9" fontId="4" fillId="0" borderId="0" xfId="0" applyNumberFormat="1" applyFont="1"/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43" fontId="4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43" fontId="4" fillId="0" borderId="1" xfId="1" applyFont="1" applyBorder="1"/>
    <xf numFmtId="164" fontId="4" fillId="0" borderId="0" xfId="1" applyNumberFormat="1" applyFont="1"/>
    <xf numFmtId="0" fontId="4" fillId="0" borderId="0" xfId="0" quotePrefix="1" applyFont="1"/>
    <xf numFmtId="0" fontId="4" fillId="2" borderId="0" xfId="0" applyFont="1" applyFill="1"/>
    <xf numFmtId="0" fontId="4" fillId="4" borderId="0" xfId="0" applyFont="1" applyFill="1"/>
    <xf numFmtId="0" fontId="7" fillId="4" borderId="0" xfId="0" applyFont="1" applyFill="1"/>
    <xf numFmtId="0" fontId="4" fillId="0" borderId="1" xfId="0" quotePrefix="1" applyFont="1" applyBorder="1"/>
    <xf numFmtId="10" fontId="4" fillId="0" borderId="1" xfId="2" applyNumberFormat="1" applyFont="1" applyBorder="1"/>
    <xf numFmtId="10" fontId="4" fillId="3" borderId="0" xfId="0" applyNumberFormat="1" applyFont="1" applyFill="1"/>
    <xf numFmtId="0" fontId="4" fillId="3" borderId="0" xfId="0" applyFont="1" applyFill="1" applyAlignment="1">
      <alignment horizontal="right"/>
    </xf>
    <xf numFmtId="2" fontId="4" fillId="0" borderId="1" xfId="0" applyNumberFormat="1" applyFont="1" applyBorder="1"/>
    <xf numFmtId="0" fontId="8" fillId="0" borderId="0" xfId="0" applyFont="1"/>
    <xf numFmtId="10" fontId="8" fillId="0" borderId="0" xfId="2" applyNumberFormat="1" applyFont="1"/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4" xfId="0" applyNumberFormat="1" applyFont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4" fillId="4" borderId="1" xfId="0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164" fontId="4" fillId="0" borderId="0" xfId="1" applyNumberFormat="1" applyFont="1" applyFill="1"/>
    <xf numFmtId="16" fontId="4" fillId="0" borderId="0" xfId="0" applyNumberFormat="1" applyFont="1"/>
    <xf numFmtId="164" fontId="4" fillId="0" borderId="0" xfId="1" applyNumberFormat="1" applyFont="1" applyAlignment="1">
      <alignment horizontal="right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64" fontId="4" fillId="0" borderId="1" xfId="0" applyNumberFormat="1" applyFont="1" applyBorder="1" applyAlignment="1">
      <alignment vertical="top"/>
    </xf>
    <xf numFmtId="166" fontId="4" fillId="0" borderId="1" xfId="0" applyNumberFormat="1" applyFont="1" applyBorder="1" applyAlignment="1">
      <alignment vertical="top" wrapText="1"/>
    </xf>
    <xf numFmtId="164" fontId="4" fillId="0" borderId="0" xfId="0" applyNumberFormat="1" applyFont="1" applyAlignment="1">
      <alignment vertical="top"/>
    </xf>
    <xf numFmtId="166" fontId="4" fillId="0" borderId="0" xfId="0" applyNumberFormat="1" applyFont="1" applyAlignment="1">
      <alignment vertical="top" wrapText="1"/>
    </xf>
    <xf numFmtId="0" fontId="3" fillId="4" borderId="8" xfId="0" applyFont="1" applyFill="1" applyBorder="1"/>
    <xf numFmtId="0" fontId="3" fillId="4" borderId="0" xfId="0" applyFont="1" applyFill="1" applyBorder="1"/>
    <xf numFmtId="0" fontId="3" fillId="4" borderId="11" xfId="0" applyFont="1" applyFill="1" applyBorder="1"/>
    <xf numFmtId="0" fontId="3" fillId="4" borderId="9" xfId="0" applyFont="1" applyFill="1" applyBorder="1"/>
    <xf numFmtId="164" fontId="3" fillId="4" borderId="9" xfId="0" applyNumberFormat="1" applyFont="1" applyFill="1" applyBorder="1"/>
    <xf numFmtId="43" fontId="3" fillId="4" borderId="1" xfId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8" fontId="4" fillId="0" borderId="0" xfId="0" applyNumberFormat="1" applyFont="1"/>
    <xf numFmtId="165" fontId="4" fillId="0" borderId="0" xfId="0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uncle's%20bid%20for%20work/1.%20F&amp;V%20Processing%20unit/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For word file"/>
      <sheetName val="Assumptions"/>
      <sheetName val="Budgets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>
        <row r="1">
          <cell r="A1" t="str">
            <v>Annexure 3 - Complete Estimate of Civil and Plant and Machinery</v>
          </cell>
        </row>
      </sheetData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>
        <row r="1">
          <cell r="A1" t="str">
            <v>Annexure 6 - requirement of Power and Fuel</v>
          </cell>
        </row>
      </sheetData>
      <sheetData sheetId="7">
        <row r="1">
          <cell r="A1" t="str">
            <v>Annexure 7 - Details of Mnpower (Technical)</v>
          </cell>
        </row>
      </sheetData>
      <sheetData sheetId="8">
        <row r="1">
          <cell r="A1" t="str">
            <v>Annexure 8 - Details of Mnpower (Administrative)</v>
          </cell>
        </row>
      </sheetData>
      <sheetData sheetId="9">
        <row r="1">
          <cell r="A1" t="str">
            <v>Annexure 9 - Computation of Depreciation</v>
          </cell>
        </row>
      </sheetData>
      <sheetData sheetId="10">
        <row r="1">
          <cell r="A1" t="str">
            <v>Annexure 10 - Calculation of Income tax</v>
          </cell>
        </row>
      </sheetData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>
        <row r="1">
          <cell r="A1" t="str">
            <v>Annexure 13 - Repayment schedule</v>
          </cell>
        </row>
      </sheetData>
      <sheetData sheetId="14"/>
      <sheetData sheetId="15">
        <row r="1">
          <cell r="B1" t="str">
            <v>Assumptions</v>
          </cell>
        </row>
      </sheetData>
      <sheetData sheetId="16">
        <row r="1">
          <cell r="A1" t="str">
            <v>Sales Budget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68DD-610E-4F46-9CF8-51AD6DB2DDE9}">
  <dimension ref="A1:B15"/>
  <sheetViews>
    <sheetView tabSelected="1" workbookViewId="0">
      <selection activeCell="A14" sqref="A14"/>
    </sheetView>
  </sheetViews>
  <sheetFormatPr defaultRowHeight="17" x14ac:dyDescent="0.6"/>
  <cols>
    <col min="1" max="1" width="57.90625" style="4" bestFit="1" customWidth="1"/>
    <col min="2" max="2" width="14.453125" style="4" bestFit="1" customWidth="1"/>
    <col min="3" max="16384" width="8.7265625" style="4"/>
  </cols>
  <sheetData>
    <row r="1" spans="1:2" x14ac:dyDescent="0.6">
      <c r="A1" s="3" t="s">
        <v>206</v>
      </c>
    </row>
    <row r="3" spans="1:2" x14ac:dyDescent="0.6">
      <c r="A3" s="8" t="s">
        <v>207</v>
      </c>
      <c r="B3" s="8" t="s">
        <v>208</v>
      </c>
    </row>
    <row r="4" spans="1:2" x14ac:dyDescent="0.6">
      <c r="A4" s="5" t="str">
        <f>'[1]Ann 1'!A3</f>
        <v>Annexure 1 - Estimated cost of the project</v>
      </c>
      <c r="B4" s="6" t="s">
        <v>209</v>
      </c>
    </row>
    <row r="5" spans="1:2" x14ac:dyDescent="0.6">
      <c r="A5" s="5" t="str">
        <f>'[1]Ann 2'!A1</f>
        <v>Annexure 2 - Means of Finance</v>
      </c>
      <c r="B5" s="6" t="s">
        <v>210</v>
      </c>
    </row>
    <row r="6" spans="1:2" x14ac:dyDescent="0.6">
      <c r="A6" s="5" t="str">
        <f>'Ann 3'!A1</f>
        <v>Annexure 3 - Complete Estimate of Civil and Plant and Machinery</v>
      </c>
      <c r="B6" s="6" t="s">
        <v>211</v>
      </c>
    </row>
    <row r="7" spans="1:2" x14ac:dyDescent="0.6">
      <c r="A7" s="5" t="str">
        <f>'[1]Ann 4'!A1</f>
        <v>Annexure 4 - Estimated Cost of Production</v>
      </c>
      <c r="B7" s="6" t="s">
        <v>212</v>
      </c>
    </row>
    <row r="8" spans="1:2" x14ac:dyDescent="0.6">
      <c r="A8" s="5" t="str">
        <f>'[1]Ann 5'!A1</f>
        <v>Annexure 5- Projected balance sheet</v>
      </c>
      <c r="B8" s="6" t="s">
        <v>213</v>
      </c>
    </row>
    <row r="9" spans="1:2" x14ac:dyDescent="0.6">
      <c r="A9" s="5" t="str">
        <f>'[1]Ann 8'!A1</f>
        <v>Annexure 8 - Details of Mnpower (Administrative)</v>
      </c>
      <c r="B9" s="6" t="s">
        <v>214</v>
      </c>
    </row>
    <row r="10" spans="1:2" x14ac:dyDescent="0.6">
      <c r="A10" s="5" t="str">
        <f>'[1]Ann 9'!A1</f>
        <v>Annexure 9 - Computation of Depreciation</v>
      </c>
      <c r="B10" s="6" t="s">
        <v>215</v>
      </c>
    </row>
    <row r="11" spans="1:2" x14ac:dyDescent="0.6">
      <c r="A11" s="5" t="str">
        <f>'[1]Ann 10'!A1</f>
        <v>Annexure 10 - Calculation of Income tax</v>
      </c>
      <c r="B11" s="6" t="s">
        <v>216</v>
      </c>
    </row>
    <row r="12" spans="1:2" x14ac:dyDescent="0.6">
      <c r="A12" s="5" t="str">
        <f>'[1]Ann 11'!A1</f>
        <v>Annexure 11- Break even analysis (At maximum capacity utilization)</v>
      </c>
      <c r="B12" s="6" t="s">
        <v>217</v>
      </c>
    </row>
    <row r="13" spans="1:2" x14ac:dyDescent="0.6">
      <c r="A13" s="5" t="str">
        <f>'[1]Ann 13'!A1</f>
        <v>Annexure 13 - Repayment schedule</v>
      </c>
      <c r="B13" s="6" t="s">
        <v>218</v>
      </c>
    </row>
    <row r="14" spans="1:2" x14ac:dyDescent="0.6">
      <c r="A14" s="5" t="str">
        <f>'Ann 14'!A1</f>
        <v>Annexure 14 - Cash Flow operations</v>
      </c>
      <c r="B14" s="6" t="s">
        <v>231</v>
      </c>
    </row>
    <row r="15" spans="1:2" x14ac:dyDescent="0.6">
      <c r="A15" s="5" t="str">
        <f>[1]Assumptions!B1</f>
        <v>Assumptions</v>
      </c>
      <c r="B15" s="7" t="s">
        <v>219</v>
      </c>
    </row>
  </sheetData>
  <hyperlinks>
    <hyperlink ref="B4" location="'Ann 1'!A1" display="'Ann 1'!A1" xr:uid="{1768441B-5522-496E-98F0-01F8C3A0DFD6}"/>
    <hyperlink ref="B5" location="'Ann 2'!A1" display="'Ann 2'!A1" xr:uid="{B59DDF9A-0F4B-4214-B8C3-C4C254175D87}"/>
    <hyperlink ref="B7" location="'Ann 4'!A1" display="'Ann 4'!A1" xr:uid="{774AFCED-D539-4B06-BD20-A52D91225E07}"/>
    <hyperlink ref="B8" location="'Ann 5'!A1" display="'Ann 5'!A1" xr:uid="{BD4777BB-E748-4D58-9C93-FD76E5395F72}"/>
    <hyperlink ref="B6" location="'Ann 3'!A1" display="'Ann 3'!A1" xr:uid="{F894EA7C-90FD-4148-8963-5F6CE233C8E6}"/>
    <hyperlink ref="B9" location="'Ann 8'!A1" display="'Ann 8'!A1" xr:uid="{71F44F86-8265-4648-9444-63D267D5743F}"/>
    <hyperlink ref="B10" location="'Ann 9'!A1" display="'Ann 9'!A1" xr:uid="{1D2FF847-950F-44BB-B041-4819D8BCEDAD}"/>
    <hyperlink ref="B11" location="'Ann 10'!A1" display="'Ann 10'!A1" xr:uid="{B9FC5EAF-429B-4D2B-91EF-FBC39BDC0874}"/>
    <hyperlink ref="B12" location="'Ann 11'!A1" display="'Ann 11'!A1" xr:uid="{BA2AC4C1-B81A-4FA1-9C65-FC87B416B82A}"/>
    <hyperlink ref="B13" location="'Ann 13'!A1" display="'Ann 13'!A1" xr:uid="{83977472-BF9C-44CC-8BB6-AD7B1B844BF7}"/>
    <hyperlink ref="B14" location="'Ann 14'!A1" display="'Ann 14'!A1" xr:uid="{08413165-EECF-46CD-8DCC-28A90BB014B5}"/>
    <hyperlink ref="B15" location="Assumptions!A1" display="Assumptions!A1" xr:uid="{73D5CADF-44B1-432F-8D1C-1B6FEB90310E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G28"/>
  <sheetViews>
    <sheetView topLeftCell="A15" workbookViewId="0">
      <selection activeCell="C27" sqref="C27"/>
    </sheetView>
  </sheetViews>
  <sheetFormatPr defaultRowHeight="17" x14ac:dyDescent="0.6"/>
  <cols>
    <col min="1" max="1" width="8.7265625" style="4"/>
    <col min="2" max="2" width="23.54296875" style="4" bestFit="1" customWidth="1"/>
    <col min="3" max="3" width="14.6328125" style="4" bestFit="1" customWidth="1"/>
    <col min="4" max="4" width="12.54296875" style="4" bestFit="1" customWidth="1"/>
    <col min="5" max="5" width="13.6328125" style="4" bestFit="1" customWidth="1"/>
    <col min="6" max="14" width="8.7265625" style="4"/>
    <col min="15" max="15" width="13.6328125" style="4" bestFit="1" customWidth="1"/>
    <col min="16" max="16" width="12.54296875" style="4" bestFit="1" customWidth="1"/>
    <col min="17" max="16384" width="8.7265625" style="4"/>
  </cols>
  <sheetData>
    <row r="1" spans="1:7" x14ac:dyDescent="0.6">
      <c r="A1" s="3" t="s">
        <v>77</v>
      </c>
    </row>
    <row r="3" spans="1:7" x14ac:dyDescent="0.6">
      <c r="A3" s="67" t="s">
        <v>223</v>
      </c>
      <c r="B3" s="66"/>
      <c r="C3" s="66"/>
      <c r="D3" s="66"/>
      <c r="E3" s="66"/>
    </row>
    <row r="5" spans="1:7" x14ac:dyDescent="0.6">
      <c r="B5" s="4" t="s">
        <v>56</v>
      </c>
      <c r="E5" s="63">
        <f>'Ann 4'!C14/60%</f>
        <v>1890000</v>
      </c>
    </row>
    <row r="6" spans="1:7" x14ac:dyDescent="0.6">
      <c r="B6" s="4" t="s">
        <v>78</v>
      </c>
    </row>
    <row r="7" spans="1:7" x14ac:dyDescent="0.6">
      <c r="B7" s="64" t="s">
        <v>79</v>
      </c>
      <c r="D7" s="52">
        <f>'Ann 1'!C22*100000*10%</f>
        <v>21500</v>
      </c>
      <c r="E7" s="52"/>
    </row>
    <row r="8" spans="1:7" x14ac:dyDescent="0.6">
      <c r="B8" s="64" t="s">
        <v>83</v>
      </c>
      <c r="D8" s="52">
        <f>'Ann 4'!K33</f>
        <v>82687.5</v>
      </c>
      <c r="E8" s="52">
        <f>SUM(D7:D8)</f>
        <v>104187.5</v>
      </c>
      <c r="G8" s="30"/>
    </row>
    <row r="9" spans="1:7" x14ac:dyDescent="0.6">
      <c r="B9" s="4" t="s">
        <v>80</v>
      </c>
      <c r="E9" s="52">
        <f>E5-E8</f>
        <v>1785812.5</v>
      </c>
    </row>
    <row r="10" spans="1:7" x14ac:dyDescent="0.6">
      <c r="B10" s="4" t="s">
        <v>81</v>
      </c>
    </row>
    <row r="11" spans="1:7" x14ac:dyDescent="0.6">
      <c r="B11" s="4" t="s">
        <v>82</v>
      </c>
      <c r="E11" s="52">
        <f>'Ann 8'!E10</f>
        <v>222000</v>
      </c>
    </row>
    <row r="12" spans="1:7" x14ac:dyDescent="0.6">
      <c r="B12" s="4" t="s">
        <v>85</v>
      </c>
      <c r="E12" s="52">
        <v>40000</v>
      </c>
    </row>
    <row r="13" spans="1:7" x14ac:dyDescent="0.6">
      <c r="B13" s="4" t="s">
        <v>261</v>
      </c>
      <c r="E13" s="52">
        <f>'Ann 4'!C9</f>
        <v>10000</v>
      </c>
    </row>
    <row r="14" spans="1:7" x14ac:dyDescent="0.6">
      <c r="B14" s="4" t="s">
        <v>262</v>
      </c>
      <c r="E14" s="52">
        <f>'Ann 4'!C10</f>
        <v>15000</v>
      </c>
    </row>
    <row r="15" spans="1:7" x14ac:dyDescent="0.6">
      <c r="B15" s="4" t="s">
        <v>84</v>
      </c>
      <c r="E15" s="52">
        <f>'Ann 9'!F12</f>
        <v>228500</v>
      </c>
    </row>
    <row r="16" spans="1:7" x14ac:dyDescent="0.6">
      <c r="B16" s="4" t="s">
        <v>87</v>
      </c>
      <c r="E16" s="52">
        <f>SUM(E11:E15)</f>
        <v>515500</v>
      </c>
    </row>
    <row r="19" spans="2:4" x14ac:dyDescent="0.6">
      <c r="B19" s="8" t="s">
        <v>3</v>
      </c>
      <c r="C19" s="8" t="s">
        <v>194</v>
      </c>
    </row>
    <row r="20" spans="2:4" x14ac:dyDescent="0.6">
      <c r="B20" s="5" t="s">
        <v>91</v>
      </c>
      <c r="C20" s="5">
        <f>Budgets!C14</f>
        <v>105</v>
      </c>
      <c r="D20" s="65"/>
    </row>
    <row r="21" spans="2:4" x14ac:dyDescent="0.6">
      <c r="B21" s="68" t="s">
        <v>90</v>
      </c>
      <c r="C21" s="59">
        <f>D7/(Budgets!B10)</f>
        <v>2.3699686392521922E-2</v>
      </c>
      <c r="D21" s="65"/>
    </row>
    <row r="22" spans="2:4" x14ac:dyDescent="0.6">
      <c r="B22" s="5" t="s">
        <v>89</v>
      </c>
      <c r="C22" s="59">
        <f>D8/Budgets!B10</f>
        <v>9.1147340399146806E-2</v>
      </c>
      <c r="D22" s="65"/>
    </row>
    <row r="23" spans="2:4" x14ac:dyDescent="0.6">
      <c r="B23" s="5" t="s">
        <v>88</v>
      </c>
      <c r="C23" s="59">
        <f>C20-C21-C22</f>
        <v>104.88515297320833</v>
      </c>
      <c r="D23" s="65"/>
    </row>
    <row r="24" spans="2:4" x14ac:dyDescent="0.6">
      <c r="B24" s="5"/>
      <c r="C24" s="5"/>
    </row>
    <row r="25" spans="2:4" x14ac:dyDescent="0.6">
      <c r="B25" s="5" t="s">
        <v>86</v>
      </c>
      <c r="C25" s="35">
        <f>E16</f>
        <v>515500</v>
      </c>
    </row>
    <row r="26" spans="2:4" x14ac:dyDescent="0.6">
      <c r="B26" s="5" t="s">
        <v>204</v>
      </c>
      <c r="C26" s="59">
        <f>C25/C23</f>
        <v>4914.8996343808385</v>
      </c>
    </row>
    <row r="27" spans="2:4" x14ac:dyDescent="0.6">
      <c r="B27" s="5" t="s">
        <v>205</v>
      </c>
      <c r="C27" s="69">
        <f>C26/(5021.78*360)</f>
        <v>2.7186573255680692E-3</v>
      </c>
    </row>
    <row r="28" spans="2:4" x14ac:dyDescent="0.6">
      <c r="C28" s="2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92</v>
      </c>
    </row>
    <row r="3" spans="1:11" x14ac:dyDescent="0.35">
      <c r="C3" s="110" t="s">
        <v>93</v>
      </c>
      <c r="D3" s="110"/>
      <c r="E3" s="110"/>
      <c r="F3" s="110"/>
      <c r="G3" s="110"/>
      <c r="H3" s="110"/>
      <c r="I3" s="110"/>
      <c r="J3" s="110"/>
      <c r="K3" s="110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94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95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96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36"/>
  <sheetViews>
    <sheetView workbookViewId="0">
      <selection activeCell="D4" sqref="D4"/>
    </sheetView>
  </sheetViews>
  <sheetFormatPr defaultRowHeight="17" x14ac:dyDescent="0.6"/>
  <cols>
    <col min="1" max="1" width="4.54296875" style="4" bestFit="1" customWidth="1"/>
    <col min="2" max="2" width="7.36328125" style="4" bestFit="1" customWidth="1"/>
    <col min="3" max="3" width="17.81640625" style="4" bestFit="1" customWidth="1"/>
    <col min="4" max="4" width="17.36328125" style="4" bestFit="1" customWidth="1"/>
    <col min="5" max="5" width="7.26953125" style="4" bestFit="1" customWidth="1"/>
    <col min="6" max="16384" width="8.7265625" style="4"/>
  </cols>
  <sheetData>
    <row r="1" spans="1:7" x14ac:dyDescent="0.6">
      <c r="A1" s="3" t="s">
        <v>102</v>
      </c>
    </row>
    <row r="3" spans="1:7" x14ac:dyDescent="0.6">
      <c r="A3" s="53" t="s">
        <v>103</v>
      </c>
    </row>
    <row r="4" spans="1:7" x14ac:dyDescent="0.6">
      <c r="A4" s="4" t="s">
        <v>104</v>
      </c>
      <c r="D4" s="29">
        <f>'Ann 2'!C6</f>
        <v>20.350000000000001</v>
      </c>
    </row>
    <row r="5" spans="1:7" x14ac:dyDescent="0.6">
      <c r="A5" s="4" t="s">
        <v>105</v>
      </c>
      <c r="D5" s="70">
        <v>0.06</v>
      </c>
    </row>
    <row r="6" spans="1:7" x14ac:dyDescent="0.6">
      <c r="A6" s="4" t="s">
        <v>106</v>
      </c>
      <c r="D6" s="71" t="s">
        <v>167</v>
      </c>
    </row>
    <row r="8" spans="1:7" x14ac:dyDescent="0.6">
      <c r="A8" s="8" t="s">
        <v>76</v>
      </c>
      <c r="B8" s="8" t="s">
        <v>107</v>
      </c>
      <c r="C8" s="8" t="s">
        <v>108</v>
      </c>
      <c r="D8" s="8" t="s">
        <v>110</v>
      </c>
      <c r="E8" s="8" t="s">
        <v>109</v>
      </c>
    </row>
    <row r="9" spans="1:7" x14ac:dyDescent="0.6">
      <c r="A9" s="111">
        <v>1</v>
      </c>
      <c r="B9" s="5">
        <v>1</v>
      </c>
      <c r="C9" s="72">
        <f>$D$4</f>
        <v>20.350000000000001</v>
      </c>
      <c r="D9" s="5">
        <v>0</v>
      </c>
      <c r="E9" s="5">
        <f>C9*$D$5/4</f>
        <v>0.30525000000000002</v>
      </c>
    </row>
    <row r="10" spans="1:7" x14ac:dyDescent="0.6">
      <c r="A10" s="111"/>
      <c r="B10" s="5">
        <v>2</v>
      </c>
      <c r="C10" s="72">
        <f>$D$4</f>
        <v>20.350000000000001</v>
      </c>
      <c r="D10" s="5">
        <v>0</v>
      </c>
      <c r="E10" s="5">
        <f>C10*$D$5/4</f>
        <v>0.30525000000000002</v>
      </c>
      <c r="G10" s="73">
        <f>230/24</f>
        <v>9.5833333333333339</v>
      </c>
    </row>
    <row r="11" spans="1:7" x14ac:dyDescent="0.6">
      <c r="A11" s="111"/>
      <c r="B11" s="5">
        <v>3</v>
      </c>
      <c r="C11" s="72">
        <f>$D$4</f>
        <v>20.350000000000001</v>
      </c>
      <c r="D11" s="5">
        <f>D4/26</f>
        <v>0.7826923076923078</v>
      </c>
      <c r="E11" s="5">
        <f>C11*$D$5/4</f>
        <v>0.30525000000000002</v>
      </c>
    </row>
    <row r="12" spans="1:7" x14ac:dyDescent="0.6">
      <c r="A12" s="111"/>
      <c r="B12" s="5">
        <v>4</v>
      </c>
      <c r="C12" s="5">
        <f t="shared" ref="C12:C17" si="0">C11-D11</f>
        <v>19.567307692307693</v>
      </c>
      <c r="D12" s="5">
        <f>D11</f>
        <v>0.7826923076923078</v>
      </c>
      <c r="E12" s="5">
        <f>C12*$D$5/4</f>
        <v>0.2935096153846154</v>
      </c>
    </row>
    <row r="13" spans="1:7" x14ac:dyDescent="0.6">
      <c r="A13" s="111">
        <v>2</v>
      </c>
      <c r="B13" s="5">
        <v>1</v>
      </c>
      <c r="C13" s="5">
        <f t="shared" si="0"/>
        <v>18.784615384615385</v>
      </c>
      <c r="D13" s="5">
        <f t="shared" ref="D13:D35" si="1">D12</f>
        <v>0.7826923076923078</v>
      </c>
      <c r="E13" s="5">
        <f>C13*$D$5/4</f>
        <v>0.28176923076923077</v>
      </c>
    </row>
    <row r="14" spans="1:7" x14ac:dyDescent="0.6">
      <c r="A14" s="111"/>
      <c r="B14" s="5">
        <v>2</v>
      </c>
      <c r="C14" s="5">
        <f t="shared" si="0"/>
        <v>18.001923076923077</v>
      </c>
      <c r="D14" s="5">
        <f t="shared" si="1"/>
        <v>0.7826923076923078</v>
      </c>
      <c r="E14" s="5">
        <f t="shared" ref="E14:E36" si="2">C14*$D$5/4</f>
        <v>0.27002884615384615</v>
      </c>
    </row>
    <row r="15" spans="1:7" x14ac:dyDescent="0.6">
      <c r="A15" s="111"/>
      <c r="B15" s="5">
        <v>3</v>
      </c>
      <c r="C15" s="5">
        <f t="shared" si="0"/>
        <v>17.219230769230769</v>
      </c>
      <c r="D15" s="5">
        <f t="shared" si="1"/>
        <v>0.7826923076923078</v>
      </c>
      <c r="E15" s="5">
        <f t="shared" si="2"/>
        <v>0.25828846153846152</v>
      </c>
    </row>
    <row r="16" spans="1:7" x14ac:dyDescent="0.6">
      <c r="A16" s="111"/>
      <c r="B16" s="5">
        <v>4</v>
      </c>
      <c r="C16" s="5">
        <f t="shared" si="0"/>
        <v>16.436538461538461</v>
      </c>
      <c r="D16" s="5">
        <f t="shared" si="1"/>
        <v>0.7826923076923078</v>
      </c>
      <c r="E16" s="5">
        <f t="shared" si="2"/>
        <v>0.2465480769230769</v>
      </c>
    </row>
    <row r="17" spans="1:5" x14ac:dyDescent="0.6">
      <c r="A17" s="111">
        <v>3</v>
      </c>
      <c r="B17" s="5">
        <v>1</v>
      </c>
      <c r="C17" s="5">
        <f t="shared" si="0"/>
        <v>15.653846153846153</v>
      </c>
      <c r="D17" s="5">
        <f t="shared" si="1"/>
        <v>0.7826923076923078</v>
      </c>
      <c r="E17" s="5">
        <f t="shared" si="2"/>
        <v>0.2348076923076923</v>
      </c>
    </row>
    <row r="18" spans="1:5" x14ac:dyDescent="0.6">
      <c r="A18" s="111"/>
      <c r="B18" s="5">
        <v>2</v>
      </c>
      <c r="C18" s="5">
        <f t="shared" ref="C18:C36" si="3">C17-D17</f>
        <v>14.871153846153845</v>
      </c>
      <c r="D18" s="5">
        <f t="shared" si="1"/>
        <v>0.7826923076923078</v>
      </c>
      <c r="E18" s="5">
        <f t="shared" si="2"/>
        <v>0.22306730769230768</v>
      </c>
    </row>
    <row r="19" spans="1:5" x14ac:dyDescent="0.6">
      <c r="A19" s="111"/>
      <c r="B19" s="5">
        <v>3</v>
      </c>
      <c r="C19" s="5">
        <f t="shared" si="3"/>
        <v>14.088461538461537</v>
      </c>
      <c r="D19" s="5">
        <f t="shared" si="1"/>
        <v>0.7826923076923078</v>
      </c>
      <c r="E19" s="5">
        <f t="shared" si="2"/>
        <v>0.21132692307692305</v>
      </c>
    </row>
    <row r="20" spans="1:5" x14ac:dyDescent="0.6">
      <c r="A20" s="111"/>
      <c r="B20" s="5">
        <v>4</v>
      </c>
      <c r="C20" s="5">
        <f t="shared" si="3"/>
        <v>13.305769230769229</v>
      </c>
      <c r="D20" s="5">
        <f t="shared" si="1"/>
        <v>0.7826923076923078</v>
      </c>
      <c r="E20" s="5">
        <f t="shared" si="2"/>
        <v>0.19958653846153843</v>
      </c>
    </row>
    <row r="21" spans="1:5" x14ac:dyDescent="0.6">
      <c r="A21" s="111">
        <v>4</v>
      </c>
      <c r="B21" s="5">
        <v>1</v>
      </c>
      <c r="C21" s="5">
        <f t="shared" si="3"/>
        <v>12.523076923076921</v>
      </c>
      <c r="D21" s="5">
        <f t="shared" si="1"/>
        <v>0.7826923076923078</v>
      </c>
      <c r="E21" s="5">
        <f t="shared" si="2"/>
        <v>0.1878461538461538</v>
      </c>
    </row>
    <row r="22" spans="1:5" x14ac:dyDescent="0.6">
      <c r="A22" s="111"/>
      <c r="B22" s="5">
        <v>2</v>
      </c>
      <c r="C22" s="5">
        <f t="shared" si="3"/>
        <v>11.740384615384613</v>
      </c>
      <c r="D22" s="5">
        <f t="shared" si="1"/>
        <v>0.7826923076923078</v>
      </c>
      <c r="E22" s="5">
        <f t="shared" si="2"/>
        <v>0.1761057692307692</v>
      </c>
    </row>
    <row r="23" spans="1:5" x14ac:dyDescent="0.6">
      <c r="A23" s="111"/>
      <c r="B23" s="5">
        <v>3</v>
      </c>
      <c r="C23" s="5">
        <f t="shared" si="3"/>
        <v>10.957692307692305</v>
      </c>
      <c r="D23" s="5">
        <f t="shared" si="1"/>
        <v>0.7826923076923078</v>
      </c>
      <c r="E23" s="5">
        <f t="shared" si="2"/>
        <v>0.16436538461538458</v>
      </c>
    </row>
    <row r="24" spans="1:5" x14ac:dyDescent="0.6">
      <c r="A24" s="111"/>
      <c r="B24" s="5">
        <v>4</v>
      </c>
      <c r="C24" s="5">
        <f t="shared" si="3"/>
        <v>10.174999999999997</v>
      </c>
      <c r="D24" s="5">
        <f t="shared" si="1"/>
        <v>0.7826923076923078</v>
      </c>
      <c r="E24" s="5">
        <f t="shared" si="2"/>
        <v>0.15262499999999996</v>
      </c>
    </row>
    <row r="25" spans="1:5" x14ac:dyDescent="0.6">
      <c r="A25" s="111">
        <v>5</v>
      </c>
      <c r="B25" s="5">
        <v>1</v>
      </c>
      <c r="C25" s="5">
        <f t="shared" si="3"/>
        <v>9.3923076923076891</v>
      </c>
      <c r="D25" s="5">
        <f t="shared" si="1"/>
        <v>0.7826923076923078</v>
      </c>
      <c r="E25" s="5">
        <f t="shared" si="2"/>
        <v>0.14088461538461533</v>
      </c>
    </row>
    <row r="26" spans="1:5" x14ac:dyDescent="0.6">
      <c r="A26" s="111"/>
      <c r="B26" s="5">
        <v>2</v>
      </c>
      <c r="C26" s="5">
        <f t="shared" si="3"/>
        <v>8.6096153846153811</v>
      </c>
      <c r="D26" s="5">
        <f t="shared" si="1"/>
        <v>0.7826923076923078</v>
      </c>
      <c r="E26" s="5">
        <f t="shared" si="2"/>
        <v>0.12914423076923071</v>
      </c>
    </row>
    <row r="27" spans="1:5" x14ac:dyDescent="0.6">
      <c r="A27" s="111"/>
      <c r="B27" s="5">
        <v>3</v>
      </c>
      <c r="C27" s="5">
        <f t="shared" si="3"/>
        <v>7.8269230769230731</v>
      </c>
      <c r="D27" s="5">
        <f t="shared" si="1"/>
        <v>0.7826923076923078</v>
      </c>
      <c r="E27" s="5">
        <f t="shared" si="2"/>
        <v>0.11740384615384609</v>
      </c>
    </row>
    <row r="28" spans="1:5" x14ac:dyDescent="0.6">
      <c r="A28" s="111"/>
      <c r="B28" s="5">
        <v>4</v>
      </c>
      <c r="C28" s="5">
        <f t="shared" si="3"/>
        <v>7.0442307692307651</v>
      </c>
      <c r="D28" s="5">
        <f t="shared" si="1"/>
        <v>0.7826923076923078</v>
      </c>
      <c r="E28" s="5">
        <f t="shared" si="2"/>
        <v>0.10566346153846147</v>
      </c>
    </row>
    <row r="29" spans="1:5" x14ac:dyDescent="0.6">
      <c r="A29" s="111">
        <v>6</v>
      </c>
      <c r="B29" s="5">
        <v>1</v>
      </c>
      <c r="C29" s="5">
        <f t="shared" si="3"/>
        <v>6.2615384615384571</v>
      </c>
      <c r="D29" s="5">
        <f t="shared" si="1"/>
        <v>0.7826923076923078</v>
      </c>
      <c r="E29" s="5">
        <f t="shared" si="2"/>
        <v>9.3923076923076859E-2</v>
      </c>
    </row>
    <row r="30" spans="1:5" x14ac:dyDescent="0.6">
      <c r="A30" s="111"/>
      <c r="B30" s="5">
        <v>2</v>
      </c>
      <c r="C30" s="5">
        <f t="shared" si="3"/>
        <v>5.478846153846149</v>
      </c>
      <c r="D30" s="5">
        <f t="shared" si="1"/>
        <v>0.7826923076923078</v>
      </c>
      <c r="E30" s="5">
        <f t="shared" si="2"/>
        <v>8.2182692307692234E-2</v>
      </c>
    </row>
    <row r="31" spans="1:5" x14ac:dyDescent="0.6">
      <c r="A31" s="111"/>
      <c r="B31" s="5">
        <v>3</v>
      </c>
      <c r="C31" s="5">
        <f t="shared" si="3"/>
        <v>4.696153846153841</v>
      </c>
      <c r="D31" s="5">
        <f t="shared" si="1"/>
        <v>0.7826923076923078</v>
      </c>
      <c r="E31" s="5">
        <f t="shared" si="2"/>
        <v>7.044230769230761E-2</v>
      </c>
    </row>
    <row r="32" spans="1:5" x14ac:dyDescent="0.6">
      <c r="A32" s="111"/>
      <c r="B32" s="5">
        <v>4</v>
      </c>
      <c r="C32" s="5">
        <f t="shared" si="3"/>
        <v>3.913461538461533</v>
      </c>
      <c r="D32" s="5">
        <f t="shared" si="1"/>
        <v>0.7826923076923078</v>
      </c>
      <c r="E32" s="5">
        <f t="shared" si="2"/>
        <v>5.8701923076922992E-2</v>
      </c>
    </row>
    <row r="33" spans="1:5" x14ac:dyDescent="0.6">
      <c r="A33" s="111">
        <v>7</v>
      </c>
      <c r="B33" s="5">
        <v>1</v>
      </c>
      <c r="C33" s="5">
        <f t="shared" si="3"/>
        <v>3.130769230769225</v>
      </c>
      <c r="D33" s="5">
        <f t="shared" si="1"/>
        <v>0.7826923076923078</v>
      </c>
      <c r="E33" s="5">
        <f t="shared" si="2"/>
        <v>4.6961538461538374E-2</v>
      </c>
    </row>
    <row r="34" spans="1:5" x14ac:dyDescent="0.6">
      <c r="A34" s="111"/>
      <c r="B34" s="5">
        <v>2</v>
      </c>
      <c r="C34" s="5">
        <f t="shared" si="3"/>
        <v>2.348076923076917</v>
      </c>
      <c r="D34" s="5">
        <f t="shared" si="1"/>
        <v>0.7826923076923078</v>
      </c>
      <c r="E34" s="5">
        <f t="shared" si="2"/>
        <v>3.5221153846153756E-2</v>
      </c>
    </row>
    <row r="35" spans="1:5" x14ac:dyDescent="0.6">
      <c r="A35" s="111"/>
      <c r="B35" s="5">
        <v>3</v>
      </c>
      <c r="C35" s="5">
        <f t="shared" si="3"/>
        <v>1.5653846153846092</v>
      </c>
      <c r="D35" s="5">
        <f t="shared" si="1"/>
        <v>0.7826923076923078</v>
      </c>
      <c r="E35" s="5">
        <f t="shared" si="2"/>
        <v>2.3480769230769135E-2</v>
      </c>
    </row>
    <row r="36" spans="1:5" x14ac:dyDescent="0.6">
      <c r="A36" s="111"/>
      <c r="B36" s="5">
        <v>4</v>
      </c>
      <c r="C36" s="5">
        <f t="shared" si="3"/>
        <v>0.78269230769230136</v>
      </c>
      <c r="D36" s="72">
        <f>D4-SUM(D9:D35)</f>
        <v>0.78269230769230447</v>
      </c>
      <c r="E36" s="5">
        <f t="shared" si="2"/>
        <v>1.1740384615384521E-2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53A9-9792-4546-A721-77792F6E5EDB}">
  <dimension ref="A2:J8"/>
  <sheetViews>
    <sheetView workbookViewId="0">
      <selection activeCell="B3" sqref="B3:F8"/>
    </sheetView>
  </sheetViews>
  <sheetFormatPr defaultRowHeight="14.5" x14ac:dyDescent="0.35"/>
  <sheetData>
    <row r="2" spans="1:10" x14ac:dyDescent="0.3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  <c r="J2" t="s">
        <v>53</v>
      </c>
    </row>
    <row r="3" spans="1:10" ht="17" x14ac:dyDescent="0.6">
      <c r="A3" t="s">
        <v>188</v>
      </c>
      <c r="B3" s="29">
        <f>'Ann 4'!C14/100000</f>
        <v>11.34</v>
      </c>
      <c r="C3" s="29">
        <f>'Ann 4'!D14/100000</f>
        <v>12.474</v>
      </c>
      <c r="D3" s="29">
        <f>'Ann 4'!E14/100000</f>
        <v>13.167</v>
      </c>
      <c r="E3" s="29">
        <f>'Ann 4'!F14/100000</f>
        <v>13.167</v>
      </c>
      <c r="F3" s="29">
        <f>'Ann 4'!G14/100000</f>
        <v>13.86</v>
      </c>
      <c r="G3" s="29">
        <f>'Ann 4'!H14/100000</f>
        <v>13.86</v>
      </c>
      <c r="H3" s="29">
        <f>'Ann 4'!I14/100000</f>
        <v>13.86</v>
      </c>
      <c r="I3" s="1">
        <f>'Ann 4'!J14/100000</f>
        <v>13.86</v>
      </c>
      <c r="J3" s="1">
        <f>'Ann 4'!K14/100000</f>
        <v>13.86</v>
      </c>
    </row>
    <row r="4" spans="1:10" ht="17" x14ac:dyDescent="0.6">
      <c r="A4" t="s">
        <v>189</v>
      </c>
      <c r="B4" s="29">
        <f>'Ann 4'!C13/100000</f>
        <v>3.62</v>
      </c>
      <c r="C4" s="29">
        <f>'Ann 4'!D13/100000</f>
        <v>3.7309999999999999</v>
      </c>
      <c r="D4" s="29">
        <f>'Ann 4'!E13/100000</f>
        <v>3.8850500000000001</v>
      </c>
      <c r="E4" s="29">
        <f>'Ann 4'!F13/100000</f>
        <v>4.0074275000000004</v>
      </c>
      <c r="F4" s="29">
        <f>'Ann 4'!G13/100000</f>
        <v>4.1752988750000002</v>
      </c>
      <c r="G4" s="29">
        <f>'Ann 4'!H13/100000</f>
        <v>4.3102200687500005</v>
      </c>
      <c r="H4" s="29">
        <f>'Ann 4'!I13/100000</f>
        <v>4.4518873221875008</v>
      </c>
      <c r="I4" s="1">
        <f>'Ann 4'!J13/100000</f>
        <v>4.6006379382968756</v>
      </c>
      <c r="J4" s="1">
        <f>'Ann 4'!K13/100000</f>
        <v>4.7568260852117197</v>
      </c>
    </row>
    <row r="5" spans="1:10" ht="17" x14ac:dyDescent="0.6">
      <c r="A5" t="s">
        <v>190</v>
      </c>
      <c r="B5" s="29">
        <f>B3-B4</f>
        <v>7.72</v>
      </c>
      <c r="C5" s="29">
        <f t="shared" ref="C5:J5" si="0">C3-C4</f>
        <v>8.7430000000000003</v>
      </c>
      <c r="D5" s="29">
        <f t="shared" si="0"/>
        <v>9.2819500000000001</v>
      </c>
      <c r="E5" s="29">
        <f t="shared" si="0"/>
        <v>9.1595724999999995</v>
      </c>
      <c r="F5" s="29">
        <f t="shared" si="0"/>
        <v>9.6847011250000001</v>
      </c>
      <c r="G5" s="29">
        <f t="shared" si="0"/>
        <v>9.5497799312499989</v>
      </c>
      <c r="H5" s="29">
        <f t="shared" si="0"/>
        <v>9.4081126778124986</v>
      </c>
      <c r="I5" s="1">
        <f t="shared" si="0"/>
        <v>9.2593620617031238</v>
      </c>
      <c r="J5" s="1">
        <f t="shared" si="0"/>
        <v>9.1031739147882789</v>
      </c>
    </row>
    <row r="6" spans="1:10" ht="17" x14ac:dyDescent="0.6">
      <c r="A6" t="s">
        <v>191</v>
      </c>
      <c r="B6" s="29">
        <f>B5</f>
        <v>7.72</v>
      </c>
      <c r="C6" s="29">
        <f t="shared" ref="C6:J6" si="1">C5</f>
        <v>8.7430000000000003</v>
      </c>
      <c r="D6" s="29">
        <f t="shared" si="1"/>
        <v>9.2819500000000001</v>
      </c>
      <c r="E6" s="29">
        <f t="shared" si="1"/>
        <v>9.1595724999999995</v>
      </c>
      <c r="F6" s="29">
        <f t="shared" si="1"/>
        <v>9.6847011250000001</v>
      </c>
      <c r="G6" s="29">
        <f t="shared" si="1"/>
        <v>9.5497799312499989</v>
      </c>
      <c r="H6" s="29">
        <f t="shared" si="1"/>
        <v>9.4081126778124986</v>
      </c>
      <c r="I6" s="1">
        <f t="shared" si="1"/>
        <v>9.2593620617031238</v>
      </c>
      <c r="J6" s="1">
        <f t="shared" si="1"/>
        <v>9.1031739147882789</v>
      </c>
    </row>
    <row r="7" spans="1:10" ht="17" x14ac:dyDescent="0.6">
      <c r="A7" t="s">
        <v>192</v>
      </c>
      <c r="B7" s="114">
        <f>'Ann 4'!C24/100000</f>
        <v>4.0107403846153851</v>
      </c>
      <c r="C7" s="114">
        <f>'Ann 4'!D24/100000</f>
        <v>5.4148653846153847</v>
      </c>
      <c r="D7" s="114">
        <f>'Ann 4'!E24/100000</f>
        <v>6.3473115384615388</v>
      </c>
      <c r="E7" s="114">
        <f>'Ann 4'!F24/100000</f>
        <v>6.5978651923076921</v>
      </c>
      <c r="F7" s="114">
        <f>'Ann 4'!G24/100000</f>
        <v>7.4774164711538473</v>
      </c>
      <c r="G7" s="114">
        <f>'Ann 4'!H24/100000</f>
        <v>7.6802602812500007</v>
      </c>
      <c r="H7" s="114">
        <f>'Ann 4'!I24/100000</f>
        <v>7.8613661466586535</v>
      </c>
      <c r="I7" s="2">
        <f>'Ann 4'!J24/100000</f>
        <v>7.9514536452031237</v>
      </c>
      <c r="J7" s="2">
        <f>'Ann 4'!K24/100000</f>
        <v>7.9045563399382806</v>
      </c>
    </row>
    <row r="8" spans="1:10" ht="17" x14ac:dyDescent="0.6">
      <c r="A8" t="s">
        <v>193</v>
      </c>
      <c r="B8" s="114">
        <f>'Ann 4'!C26/100000</f>
        <v>2.8075182692307692</v>
      </c>
      <c r="C8" s="114">
        <f>'Ann 4'!D26/100000</f>
        <v>3.79040576923077</v>
      </c>
      <c r="D8" s="114">
        <f>'Ann 4'!E26/100000</f>
        <v>4.4431180769230778</v>
      </c>
      <c r="E8" s="114">
        <f>'Ann 4'!F26/100000</f>
        <v>4.618505634615385</v>
      </c>
      <c r="F8" s="114">
        <f>'Ann 4'!G26/100000</f>
        <v>5.2341915298076929</v>
      </c>
      <c r="G8" s="114">
        <f>'Ann 4'!H26/100000</f>
        <v>5.3761821968750008</v>
      </c>
      <c r="H8" s="114">
        <f>'Ann 4'!I26/100000</f>
        <v>5.5029563026610573</v>
      </c>
      <c r="I8" s="2">
        <f>'Ann 4'!J26/100000</f>
        <v>5.5660175516421875</v>
      </c>
      <c r="J8" s="2">
        <f>'Ann 4'!K26/100000</f>
        <v>5.5331894379567963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K27"/>
  <sheetViews>
    <sheetView workbookViewId="0">
      <selection activeCell="C16" sqref="C16"/>
    </sheetView>
  </sheetViews>
  <sheetFormatPr defaultRowHeight="17" x14ac:dyDescent="0.6"/>
  <cols>
    <col min="1" max="1" width="41.1796875" style="4" bestFit="1" customWidth="1"/>
    <col min="2" max="10" width="11.90625" style="4" bestFit="1" customWidth="1"/>
    <col min="11" max="11" width="10.81640625" style="4" bestFit="1" customWidth="1"/>
    <col min="12" max="16384" width="8.7265625" style="4"/>
  </cols>
  <sheetData>
    <row r="1" spans="1:10" x14ac:dyDescent="0.6">
      <c r="A1" s="3" t="s">
        <v>224</v>
      </c>
    </row>
    <row r="2" spans="1:10" x14ac:dyDescent="0.6">
      <c r="A2" s="3"/>
    </row>
    <row r="3" spans="1:10" x14ac:dyDescent="0.6">
      <c r="A3" s="100" t="s">
        <v>3</v>
      </c>
      <c r="B3" s="100" t="s">
        <v>45</v>
      </c>
      <c r="C3" s="100" t="s">
        <v>46</v>
      </c>
      <c r="D3" s="100" t="s">
        <v>47</v>
      </c>
      <c r="E3" s="100" t="s">
        <v>48</v>
      </c>
      <c r="F3" s="100" t="s">
        <v>49</v>
      </c>
      <c r="G3" s="100" t="s">
        <v>50</v>
      </c>
      <c r="H3" s="100" t="s">
        <v>51</v>
      </c>
      <c r="I3" s="100" t="s">
        <v>52</v>
      </c>
      <c r="J3" s="100" t="s">
        <v>53</v>
      </c>
    </row>
    <row r="4" spans="1:10" x14ac:dyDescent="0.6">
      <c r="A4" s="62" t="s">
        <v>186</v>
      </c>
      <c r="B4" s="62">
        <f>'Ann 2'!C7*100000</f>
        <v>215000</v>
      </c>
      <c r="C4" s="62">
        <f>B16</f>
        <v>335337.45192307694</v>
      </c>
      <c r="D4" s="62">
        <f t="shared" ref="D4:J4" si="0">C16</f>
        <v>407980.81730769237</v>
      </c>
      <c r="E4" s="62">
        <f t="shared" si="0"/>
        <v>496369.79807692312</v>
      </c>
      <c r="F4" s="62">
        <f t="shared" si="0"/>
        <v>580794.65673076909</v>
      </c>
      <c r="G4" s="62">
        <f t="shared" si="0"/>
        <v>673571.16014423082</v>
      </c>
      <c r="H4" s="62">
        <f t="shared" si="0"/>
        <v>764230.3119110578</v>
      </c>
      <c r="I4" s="62">
        <f t="shared" si="0"/>
        <v>847735.47246718779</v>
      </c>
      <c r="J4" s="62">
        <f t="shared" si="0"/>
        <v>1235327.1916992972</v>
      </c>
    </row>
    <row r="5" spans="1:10" x14ac:dyDescent="0.6">
      <c r="A5" s="62" t="s">
        <v>176</v>
      </c>
      <c r="B5" s="62">
        <f>'Ann 4'!C14-'Ann 5'!C12</f>
        <v>1039500</v>
      </c>
      <c r="C5" s="62">
        <f>'Ann 4'!D14-'Ann 5'!D12</f>
        <v>1143450</v>
      </c>
      <c r="D5" s="62">
        <f>'Ann 4'!E14-'Ann 5'!E12</f>
        <v>1206975</v>
      </c>
      <c r="E5" s="62">
        <f>'Ann 4'!F14-'Ann 5'!F12</f>
        <v>1206975</v>
      </c>
      <c r="F5" s="62">
        <f>'Ann 4'!G14-'Ann 5'!G12</f>
        <v>1270500</v>
      </c>
      <c r="G5" s="62">
        <f>'Ann 4'!H14-'Ann 5'!H12</f>
        <v>1270500</v>
      </c>
      <c r="H5" s="62">
        <f>'Ann 4'!I14-'Ann 5'!I12</f>
        <v>1270500</v>
      </c>
      <c r="I5" s="62">
        <f>'Ann 4'!J14-'Ann 5'!J12</f>
        <v>1270500</v>
      </c>
      <c r="J5" s="62">
        <f>'Ann 4'!K14-'Ann 5'!K12</f>
        <v>1270500</v>
      </c>
    </row>
    <row r="6" spans="1:10" x14ac:dyDescent="0.6">
      <c r="A6" s="62" t="s">
        <v>180</v>
      </c>
      <c r="B6" s="62">
        <v>0</v>
      </c>
      <c r="C6" s="62">
        <f>'Ann 5'!C23</f>
        <v>2500</v>
      </c>
      <c r="D6" s="62">
        <f>'Ann 5'!D23</f>
        <v>2500</v>
      </c>
      <c r="E6" s="62">
        <f>'Ann 5'!E23</f>
        <v>2500</v>
      </c>
      <c r="F6" s="62">
        <f>'Ann 5'!F23</f>
        <v>2500</v>
      </c>
      <c r="G6" s="62">
        <f>'Ann 5'!G23</f>
        <v>2500</v>
      </c>
      <c r="H6" s="62">
        <f>'Ann 5'!H23</f>
        <v>2500</v>
      </c>
      <c r="I6" s="62">
        <f>'Ann 5'!I23</f>
        <v>2500</v>
      </c>
      <c r="J6" s="62">
        <f>'Ann 5'!J23</f>
        <v>2500</v>
      </c>
    </row>
    <row r="7" spans="1:10" x14ac:dyDescent="0.6">
      <c r="A7" s="62" t="s">
        <v>181</v>
      </c>
      <c r="B7" s="62">
        <v>0</v>
      </c>
      <c r="C7" s="62">
        <f>'Ann 5'!C12</f>
        <v>94500</v>
      </c>
      <c r="D7" s="62">
        <f>'Ann 5'!D12</f>
        <v>103950</v>
      </c>
      <c r="E7" s="62">
        <f>'Ann 5'!E12</f>
        <v>109725</v>
      </c>
      <c r="F7" s="62">
        <f>'Ann 5'!F12</f>
        <v>109725</v>
      </c>
      <c r="G7" s="62">
        <f>'Ann 5'!G12</f>
        <v>115500</v>
      </c>
      <c r="H7" s="62">
        <f>'Ann 5'!H12</f>
        <v>115500</v>
      </c>
      <c r="I7" s="62">
        <f>'Ann 5'!I12</f>
        <v>115500</v>
      </c>
      <c r="J7" s="62">
        <f>'Ann 5'!J12</f>
        <v>115500</v>
      </c>
    </row>
    <row r="8" spans="1:10" x14ac:dyDescent="0.6">
      <c r="A8" s="62" t="s">
        <v>182</v>
      </c>
      <c r="B8" s="62">
        <f>'Ann 4'!C11-'Ann 5'!C23</f>
        <v>359500</v>
      </c>
      <c r="C8" s="62">
        <f>'Ann 4'!D11-'Ann 5'!D23</f>
        <v>370600</v>
      </c>
      <c r="D8" s="62">
        <f>'Ann 4'!E11-'Ann 5'!E23</f>
        <v>386005</v>
      </c>
      <c r="E8" s="62">
        <f>'Ann 4'!F11-'Ann 5'!F23</f>
        <v>398242.75</v>
      </c>
      <c r="F8" s="62">
        <f>'Ann 4'!G11-'Ann 5'!G23</f>
        <v>415029.88750000001</v>
      </c>
      <c r="G8" s="62">
        <f>'Ann 4'!H11-'Ann 5'!H23</f>
        <v>428522.00687500002</v>
      </c>
      <c r="H8" s="62">
        <f>'Ann 4'!I11-'Ann 5'!I23</f>
        <v>442688.73221875005</v>
      </c>
      <c r="I8" s="62">
        <f>'Ann 4'!J11-'Ann 5'!J23</f>
        <v>457563.79382968758</v>
      </c>
      <c r="J8" s="62">
        <f>'Ann 4'!K11-'Ann 5'!K23</f>
        <v>473182.60852117196</v>
      </c>
    </row>
    <row r="9" spans="1:10" x14ac:dyDescent="0.6">
      <c r="A9" s="62" t="s">
        <v>177</v>
      </c>
      <c r="B9" s="62">
        <f>'Ann 4'!C20</f>
        <v>142425.96153846156</v>
      </c>
      <c r="C9" s="62">
        <f>'Ann 4'!D20</f>
        <v>127163.46153846153</v>
      </c>
      <c r="D9" s="62">
        <f>'Ann 4'!E20</f>
        <v>108378.84615384614</v>
      </c>
      <c r="E9" s="62">
        <f>'Ann 4'!F20</f>
        <v>89594.230769230751</v>
      </c>
      <c r="F9" s="62">
        <f>'Ann 4'!G20</f>
        <v>70809.615384615347</v>
      </c>
      <c r="G9" s="62">
        <f>'Ann 4'!H20</f>
        <v>52024.999999999971</v>
      </c>
      <c r="H9" s="62">
        <f>'Ann 4'!I20</f>
        <v>33240.384615384581</v>
      </c>
      <c r="I9" s="62">
        <f>'Ann 4'!J20</f>
        <v>21500</v>
      </c>
      <c r="J9" s="62">
        <f>'Ann 4'!K20</f>
        <v>21500</v>
      </c>
    </row>
    <row r="10" spans="1:10" x14ac:dyDescent="0.6">
      <c r="A10" s="62"/>
      <c r="B10" s="62">
        <f>B4+B5-B8-B9</f>
        <v>752574.0384615385</v>
      </c>
      <c r="C10" s="62">
        <f>C4+C5-C6+C7-C8-C9</f>
        <v>1073023.9903846155</v>
      </c>
      <c r="D10" s="62">
        <f t="shared" ref="D10:J10" si="1">D4+D5-D6+D7-D8-D9</f>
        <v>1222021.9711538462</v>
      </c>
      <c r="E10" s="62">
        <f t="shared" si="1"/>
        <v>1322732.8173076923</v>
      </c>
      <c r="F10" s="62">
        <f t="shared" si="1"/>
        <v>1472680.153846154</v>
      </c>
      <c r="G10" s="62">
        <f t="shared" si="1"/>
        <v>1576524.1532692309</v>
      </c>
      <c r="H10" s="62">
        <f t="shared" si="1"/>
        <v>1671801.1950769231</v>
      </c>
      <c r="I10" s="62">
        <f t="shared" si="1"/>
        <v>1752171.6786375002</v>
      </c>
      <c r="J10" s="62">
        <f t="shared" si="1"/>
        <v>2124144.5831781253</v>
      </c>
    </row>
    <row r="11" spans="1:10" x14ac:dyDescent="0.6">
      <c r="A11" s="62" t="s">
        <v>183</v>
      </c>
      <c r="B11" s="62">
        <f>'Ann 4'!C25</f>
        <v>120322.21153846155</v>
      </c>
      <c r="C11" s="62">
        <f>'Ann 4'!D25</f>
        <v>162445.96153846153</v>
      </c>
      <c r="D11" s="62">
        <f>'Ann 4'!E25</f>
        <v>190419.34615384616</v>
      </c>
      <c r="E11" s="62">
        <f>'Ann 4'!F25</f>
        <v>197935.95576923076</v>
      </c>
      <c r="F11" s="62">
        <f>'Ann 4'!G25</f>
        <v>224322.49413461541</v>
      </c>
      <c r="G11" s="62">
        <f>'Ann 4'!H25</f>
        <v>230407.8084375</v>
      </c>
      <c r="H11" s="62">
        <f>'Ann 4'!I25</f>
        <v>235840.98439975959</v>
      </c>
      <c r="I11" s="62">
        <f>'Ann 4'!J25</f>
        <v>238543.60935609372</v>
      </c>
      <c r="J11" s="62">
        <f>'Ann 4'!K25</f>
        <v>237136.69019814843</v>
      </c>
    </row>
    <row r="12" spans="1:10" x14ac:dyDescent="0.6">
      <c r="A12" s="62"/>
      <c r="B12" s="62">
        <f>B10-B11</f>
        <v>632251.82692307699</v>
      </c>
      <c r="C12" s="62">
        <f t="shared" ref="C12:J12" si="2">C10-C11</f>
        <v>910578.02884615399</v>
      </c>
      <c r="D12" s="62">
        <f t="shared" si="2"/>
        <v>1031602.6250000001</v>
      </c>
      <c r="E12" s="62">
        <f t="shared" si="2"/>
        <v>1124796.8615384614</v>
      </c>
      <c r="F12" s="62">
        <f t="shared" si="2"/>
        <v>1248357.6597115386</v>
      </c>
      <c r="G12" s="62">
        <f t="shared" si="2"/>
        <v>1346116.3448317309</v>
      </c>
      <c r="H12" s="62">
        <f t="shared" si="2"/>
        <v>1435960.2106771634</v>
      </c>
      <c r="I12" s="62">
        <f t="shared" si="2"/>
        <v>1513628.0692814065</v>
      </c>
      <c r="J12" s="62">
        <f t="shared" si="2"/>
        <v>1887007.892979977</v>
      </c>
    </row>
    <row r="13" spans="1:10" x14ac:dyDescent="0.6">
      <c r="A13" s="62" t="s">
        <v>184</v>
      </c>
      <c r="B13" s="62">
        <f>'Ann 4'!C27</f>
        <v>140375.91346153847</v>
      </c>
      <c r="C13" s="62">
        <f>'Ann 4'!D27</f>
        <v>189520.2884615385</v>
      </c>
      <c r="D13" s="62">
        <f>'Ann 4'!E27</f>
        <v>222155.90384615387</v>
      </c>
      <c r="E13" s="62">
        <f>'Ann 4'!F27</f>
        <v>230925.28173076926</v>
      </c>
      <c r="F13" s="62">
        <f>'Ann 4'!G27</f>
        <v>261709.57649038464</v>
      </c>
      <c r="G13" s="62">
        <f>'Ann 4'!H27</f>
        <v>268809.10984375002</v>
      </c>
      <c r="H13" s="62">
        <f>'Ann 4'!I27</f>
        <v>275147.81513305288</v>
      </c>
      <c r="I13" s="62">
        <f>'Ann 4'!J27</f>
        <v>278300.87758210936</v>
      </c>
      <c r="J13" s="62">
        <f>'Ann 4'!K27</f>
        <v>276659.4718978398</v>
      </c>
    </row>
    <row r="14" spans="1:10" x14ac:dyDescent="0.6">
      <c r="A14" s="62"/>
      <c r="B14" s="62">
        <f>B12-B13</f>
        <v>491875.9134615385</v>
      </c>
      <c r="C14" s="62">
        <f t="shared" ref="C14:J14" si="3">C12-C13</f>
        <v>721057.74038461549</v>
      </c>
      <c r="D14" s="62">
        <f t="shared" si="3"/>
        <v>809446.72115384624</v>
      </c>
      <c r="E14" s="62">
        <f t="shared" si="3"/>
        <v>893871.57980769221</v>
      </c>
      <c r="F14" s="62">
        <f t="shared" si="3"/>
        <v>986648.08322115394</v>
      </c>
      <c r="G14" s="62">
        <f t="shared" si="3"/>
        <v>1077307.2349879809</v>
      </c>
      <c r="H14" s="62">
        <f t="shared" si="3"/>
        <v>1160812.3955441106</v>
      </c>
      <c r="I14" s="62">
        <f t="shared" si="3"/>
        <v>1235327.1916992972</v>
      </c>
      <c r="J14" s="62">
        <f t="shared" si="3"/>
        <v>1610348.4210821372</v>
      </c>
    </row>
    <row r="15" spans="1:10" x14ac:dyDescent="0.6">
      <c r="A15" s="62" t="s">
        <v>185</v>
      </c>
      <c r="B15" s="62">
        <f>SUM('Ann 13'!D9:D12)*100000</f>
        <v>156538.46153846156</v>
      </c>
      <c r="C15" s="62">
        <f>SUM('Ann 13'!D13:D16)*100000</f>
        <v>313076.92307692312</v>
      </c>
      <c r="D15" s="62">
        <f>SUM('Ann 13'!D17:D20)*100000</f>
        <v>313076.92307692312</v>
      </c>
      <c r="E15" s="62">
        <f>SUM('Ann 13'!D21:D24)*100000</f>
        <v>313076.92307692312</v>
      </c>
      <c r="F15" s="62">
        <f>SUM('Ann 13'!D25:D28)*100000</f>
        <v>313076.92307692312</v>
      </c>
      <c r="G15" s="62">
        <f>SUM('Ann 13'!D29:D32)*100000</f>
        <v>313076.92307692312</v>
      </c>
      <c r="H15" s="62">
        <f>SUM('Ann 13'!D33:D36)*100000</f>
        <v>313076.92307692277</v>
      </c>
      <c r="I15" s="62">
        <v>0</v>
      </c>
      <c r="J15" s="62">
        <v>0</v>
      </c>
    </row>
    <row r="16" spans="1:10" x14ac:dyDescent="0.6">
      <c r="A16" s="62" t="s">
        <v>187</v>
      </c>
      <c r="B16" s="62">
        <f>B14-B15</f>
        <v>335337.45192307694</v>
      </c>
      <c r="C16" s="62">
        <f>C14-C15</f>
        <v>407980.81730769237</v>
      </c>
      <c r="D16" s="62">
        <f>D14-D15</f>
        <v>496369.79807692312</v>
      </c>
      <c r="E16" s="62">
        <f t="shared" ref="E16:J16" si="4">E14-E15</f>
        <v>580794.65673076909</v>
      </c>
      <c r="F16" s="62">
        <f t="shared" si="4"/>
        <v>673571.16014423082</v>
      </c>
      <c r="G16" s="62">
        <f t="shared" si="4"/>
        <v>764230.3119110578</v>
      </c>
      <c r="H16" s="62">
        <f t="shared" si="4"/>
        <v>847735.47246718779</v>
      </c>
      <c r="I16" s="62">
        <f t="shared" si="4"/>
        <v>1235327.1916992972</v>
      </c>
      <c r="J16" s="62">
        <f t="shared" si="4"/>
        <v>1610348.4210821372</v>
      </c>
    </row>
    <row r="18" spans="1:11" x14ac:dyDescent="0.6">
      <c r="A18" s="73" t="s">
        <v>200</v>
      </c>
      <c r="B18" s="74">
        <v>0.06</v>
      </c>
      <c r="C18" s="73"/>
      <c r="D18" s="73"/>
      <c r="E18" s="73"/>
      <c r="F18" s="73"/>
      <c r="G18" s="73"/>
      <c r="H18" s="73"/>
      <c r="I18" s="73"/>
      <c r="J18" s="73"/>
      <c r="K18" s="73"/>
    </row>
    <row r="19" spans="1:11" x14ac:dyDescent="0.6">
      <c r="A19" s="73" t="s">
        <v>199</v>
      </c>
      <c r="B19" s="73">
        <f>1/(1+$B$18)</f>
        <v>0.94339622641509424</v>
      </c>
      <c r="C19" s="73">
        <f>1/((1+$B$18)*(1+$B$18))</f>
        <v>0.88999644001423983</v>
      </c>
      <c r="D19" s="73">
        <f>1/((1+$B$18)*(1+$B$18)*(1+$B$18))</f>
        <v>0.8396192830323016</v>
      </c>
      <c r="E19" s="73">
        <f>1/((1+$B$18)*(1+$B$18)*(1+$B$18)*(1+$B$18))</f>
        <v>0.79209366323802044</v>
      </c>
      <c r="F19" s="73">
        <f>1/((1+$B$18)*(1+$B$18)*(1+$B$18)*(1+$B$18)*(1+$B$18))</f>
        <v>0.74725817286605689</v>
      </c>
      <c r="G19" s="73">
        <f>1/((1+$B$18)*(1+$B$18)*(1+$B$18)*(1+$B$18)*(1+$B$18)*(1+$B$18))</f>
        <v>0.70496054043967626</v>
      </c>
      <c r="H19" s="73">
        <f>1/((1+$B$18)*(1+$B$18)*(1+$B$18)*(1+$B$18)*(1+$B$18)*(1+$B$18)*(1+$B$18))</f>
        <v>0.6650571136223361</v>
      </c>
      <c r="I19" s="73">
        <f>1/((1+$B$18)*(1+$B$18)*(1+$B$18)*(1+$B$18)*(1+$B$18)*(1+$B$18)*(1+$B$18)*(1+$B$18))</f>
        <v>0.62741237134182648</v>
      </c>
      <c r="J19" s="73">
        <f>1/((1+$B$18)*(1+$B$18)*(1+$B$18)*(1+$B$18)*(1+$B$18)*(1+$B$18)*(1+$B$18)*(1+$B$18)*(1+$B$18))</f>
        <v>0.59189846353002495</v>
      </c>
      <c r="K19" s="73"/>
    </row>
    <row r="20" spans="1:11" x14ac:dyDescent="0.6">
      <c r="A20" s="73" t="s">
        <v>196</v>
      </c>
      <c r="B20" s="73">
        <f>B4+B5+B7</f>
        <v>1254500</v>
      </c>
      <c r="C20" s="73">
        <f t="shared" ref="C20:J20" si="5">C4+C5+C7</f>
        <v>1573287.451923077</v>
      </c>
      <c r="D20" s="73">
        <f t="shared" si="5"/>
        <v>1718905.8173076925</v>
      </c>
      <c r="E20" s="73">
        <f t="shared" si="5"/>
        <v>1813069.798076923</v>
      </c>
      <c r="F20" s="73">
        <f t="shared" si="5"/>
        <v>1961019.6567307692</v>
      </c>
      <c r="G20" s="73">
        <f t="shared" si="5"/>
        <v>2059571.1601442308</v>
      </c>
      <c r="H20" s="73">
        <f t="shared" si="5"/>
        <v>2150230.3119110577</v>
      </c>
      <c r="I20" s="73">
        <f t="shared" si="5"/>
        <v>2233735.4724671878</v>
      </c>
      <c r="J20" s="73">
        <f t="shared" si="5"/>
        <v>2621327.1916992972</v>
      </c>
      <c r="K20" s="73"/>
    </row>
    <row r="21" spans="1:11" x14ac:dyDescent="0.6">
      <c r="A21" s="73" t="s">
        <v>201</v>
      </c>
      <c r="B21" s="73">
        <f>B19*B20</f>
        <v>1183490.5660377357</v>
      </c>
      <c r="C21" s="73">
        <f t="shared" ref="C21:J21" si="6">C19*C20</f>
        <v>1400220.2313306131</v>
      </c>
      <c r="D21" s="73">
        <f t="shared" si="6"/>
        <v>1443226.4699279373</v>
      </c>
      <c r="E21" s="73">
        <f t="shared" si="6"/>
        <v>1436121.0980649679</v>
      </c>
      <c r="F21" s="73">
        <f t="shared" si="6"/>
        <v>1465387.9656430567</v>
      </c>
      <c r="G21" s="73">
        <f t="shared" si="6"/>
        <v>1451916.3981292481</v>
      </c>
      <c r="H21" s="73">
        <f t="shared" si="6"/>
        <v>1430025.9648628235</v>
      </c>
      <c r="I21" s="73">
        <f t="shared" si="6"/>
        <v>1401473.2697309935</v>
      </c>
      <c r="J21" s="73">
        <f t="shared" si="6"/>
        <v>1551559.5371762891</v>
      </c>
      <c r="K21" s="73"/>
    </row>
    <row r="22" spans="1:11" x14ac:dyDescent="0.6">
      <c r="A22" s="73" t="s">
        <v>197</v>
      </c>
      <c r="B22" s="73">
        <f t="shared" ref="B22:J22" si="7">B6+B8+B9+B11+B13+B15</f>
        <v>919162.54807692324</v>
      </c>
      <c r="C22" s="73">
        <f t="shared" si="7"/>
        <v>1165306.6346153845</v>
      </c>
      <c r="D22" s="73">
        <f t="shared" si="7"/>
        <v>1222536.0192307692</v>
      </c>
      <c r="E22" s="73">
        <f t="shared" si="7"/>
        <v>1232275.1413461538</v>
      </c>
      <c r="F22" s="73">
        <f t="shared" si="7"/>
        <v>1287448.4965865384</v>
      </c>
      <c r="G22" s="73">
        <f t="shared" si="7"/>
        <v>1295340.8482331731</v>
      </c>
      <c r="H22" s="73">
        <f t="shared" si="7"/>
        <v>1302494.8394438699</v>
      </c>
      <c r="I22" s="73">
        <f t="shared" si="7"/>
        <v>998408.28076789062</v>
      </c>
      <c r="J22" s="73">
        <f t="shared" si="7"/>
        <v>1010978.7706171602</v>
      </c>
      <c r="K22" s="73"/>
    </row>
    <row r="23" spans="1:11" x14ac:dyDescent="0.6">
      <c r="A23" s="73" t="s">
        <v>202</v>
      </c>
      <c r="B23" s="73">
        <f>B22*B19</f>
        <v>867134.47931785206</v>
      </c>
      <c r="C23" s="73">
        <f t="shared" ref="C23:J23" si="8">C22*C19</f>
        <v>1037118.7563326667</v>
      </c>
      <c r="D23" s="73">
        <f t="shared" si="8"/>
        <v>1026464.8159477025</v>
      </c>
      <c r="E23" s="73">
        <f t="shared" si="8"/>
        <v>976077.33082602441</v>
      </c>
      <c r="F23" s="73">
        <f t="shared" si="8"/>
        <v>962056.41121840861</v>
      </c>
      <c r="G23" s="73">
        <f t="shared" si="8"/>
        <v>913164.18442404643</v>
      </c>
      <c r="H23" s="73">
        <f t="shared" si="8"/>
        <v>866233.45842852816</v>
      </c>
      <c r="I23" s="73">
        <f t="shared" si="8"/>
        <v>626413.70700389834</v>
      </c>
      <c r="J23" s="73">
        <f t="shared" si="8"/>
        <v>598396.78098977066</v>
      </c>
      <c r="K23" s="73"/>
    </row>
    <row r="24" spans="1:11" x14ac:dyDescent="0.6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</row>
    <row r="25" spans="1:11" x14ac:dyDescent="0.6">
      <c r="A25" s="73" t="s">
        <v>198</v>
      </c>
      <c r="B25" s="73">
        <f t="shared" ref="B25:J25" si="9">B20-B22</f>
        <v>335337.45192307676</v>
      </c>
      <c r="C25" s="73">
        <f t="shared" si="9"/>
        <v>407980.81730769249</v>
      </c>
      <c r="D25" s="73">
        <f t="shared" si="9"/>
        <v>496369.79807692324</v>
      </c>
      <c r="E25" s="73">
        <f t="shared" si="9"/>
        <v>580794.6567307692</v>
      </c>
      <c r="F25" s="73">
        <f t="shared" si="9"/>
        <v>673571.16014423082</v>
      </c>
      <c r="G25" s="73">
        <f t="shared" si="9"/>
        <v>764230.31191105768</v>
      </c>
      <c r="H25" s="73">
        <f t="shared" si="9"/>
        <v>847735.47246718779</v>
      </c>
      <c r="I25" s="73">
        <f t="shared" si="9"/>
        <v>1235327.1916992972</v>
      </c>
      <c r="J25" s="73">
        <f t="shared" si="9"/>
        <v>1610348.4210821369</v>
      </c>
      <c r="K25" s="73"/>
    </row>
    <row r="26" spans="1:11" x14ac:dyDescent="0.6">
      <c r="A26" s="73" t="s">
        <v>203</v>
      </c>
      <c r="B26" s="73">
        <f>B21-B23</f>
        <v>316356.08671988361</v>
      </c>
      <c r="C26" s="73">
        <f t="shared" ref="C26:J26" si="10">C21-C23</f>
        <v>363101.47499794641</v>
      </c>
      <c r="D26" s="73">
        <f t="shared" si="10"/>
        <v>416761.65398023475</v>
      </c>
      <c r="E26" s="73">
        <f t="shared" si="10"/>
        <v>460043.76723894349</v>
      </c>
      <c r="F26" s="73">
        <f t="shared" si="10"/>
        <v>503331.55442464806</v>
      </c>
      <c r="G26" s="73">
        <f t="shared" si="10"/>
        <v>538752.21370520163</v>
      </c>
      <c r="H26" s="73">
        <f t="shared" si="10"/>
        <v>563792.50643429533</v>
      </c>
      <c r="I26" s="73">
        <f t="shared" si="10"/>
        <v>775059.56272709521</v>
      </c>
      <c r="J26" s="73">
        <f t="shared" si="10"/>
        <v>953162.75618651847</v>
      </c>
      <c r="K26" s="73">
        <f>SUM(B26:J26)</f>
        <v>4890361.5764147667</v>
      </c>
    </row>
    <row r="27" spans="1:11" x14ac:dyDescent="0.6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</row>
  </sheetData>
  <pageMargins left="0.7" right="0.7" top="0.75" bottom="0.75" header="0.3" footer="0.3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605E-C4D3-450C-BF59-4D3BDA863C69}">
  <sheetPr>
    <pageSetUpPr fitToPage="1"/>
  </sheetPr>
  <dimension ref="A1:L8"/>
  <sheetViews>
    <sheetView workbookViewId="0">
      <selection activeCell="A7" sqref="A7"/>
    </sheetView>
  </sheetViews>
  <sheetFormatPr defaultRowHeight="17" x14ac:dyDescent="0.6"/>
  <cols>
    <col min="1" max="1" width="5.453125" style="4" bestFit="1" customWidth="1"/>
    <col min="2" max="2" width="98.54296875" style="4" bestFit="1" customWidth="1"/>
    <col min="3" max="3" width="12.36328125" style="4" bestFit="1" customWidth="1"/>
    <col min="4" max="16384" width="8.7265625" style="4"/>
  </cols>
  <sheetData>
    <row r="1" spans="1:12" x14ac:dyDescent="0.6">
      <c r="A1" s="3" t="s">
        <v>58</v>
      </c>
      <c r="B1" s="3" t="s">
        <v>220</v>
      </c>
    </row>
    <row r="2" spans="1:12" x14ac:dyDescent="0.6">
      <c r="A2" s="4">
        <v>1</v>
      </c>
      <c r="B2" s="4" t="s">
        <v>263</v>
      </c>
    </row>
    <row r="3" spans="1:12" x14ac:dyDescent="0.6">
      <c r="A3" s="4">
        <v>2</v>
      </c>
      <c r="B3" s="4" t="s">
        <v>221</v>
      </c>
    </row>
    <row r="4" spans="1:12" x14ac:dyDescent="0.6">
      <c r="C4" s="4" t="s">
        <v>195</v>
      </c>
      <c r="D4" s="4">
        <v>7500</v>
      </c>
      <c r="E4" s="4">
        <v>7500</v>
      </c>
      <c r="F4" s="4">
        <f>E4*1.05</f>
        <v>7875</v>
      </c>
      <c r="G4" s="4">
        <v>7875</v>
      </c>
      <c r="H4" s="4">
        <f>G4*1.05</f>
        <v>8268.75</v>
      </c>
      <c r="I4" s="4">
        <f>H4</f>
        <v>8268.75</v>
      </c>
      <c r="J4" s="4">
        <f>I4</f>
        <v>8268.75</v>
      </c>
      <c r="K4" s="4">
        <f t="shared" ref="K4:L4" si="0">J4</f>
        <v>8268.75</v>
      </c>
      <c r="L4" s="4">
        <f t="shared" si="0"/>
        <v>8268.75</v>
      </c>
    </row>
    <row r="5" spans="1:12" x14ac:dyDescent="0.6">
      <c r="C5" s="4" t="s">
        <v>78</v>
      </c>
      <c r="D5" s="4">
        <f>D4*10</f>
        <v>75000</v>
      </c>
      <c r="E5" s="4">
        <f t="shared" ref="E5:L5" si="1">E4*10</f>
        <v>75000</v>
      </c>
      <c r="F5" s="4">
        <f t="shared" si="1"/>
        <v>78750</v>
      </c>
      <c r="G5" s="4">
        <f t="shared" si="1"/>
        <v>78750</v>
      </c>
      <c r="H5" s="4">
        <f t="shared" si="1"/>
        <v>82687.5</v>
      </c>
      <c r="I5" s="4">
        <f t="shared" si="1"/>
        <v>82687.5</v>
      </c>
      <c r="J5" s="4">
        <f t="shared" si="1"/>
        <v>82687.5</v>
      </c>
      <c r="K5" s="4">
        <f t="shared" si="1"/>
        <v>82687.5</v>
      </c>
      <c r="L5" s="4">
        <f t="shared" si="1"/>
        <v>82687.5</v>
      </c>
    </row>
    <row r="6" spans="1:12" x14ac:dyDescent="0.6">
      <c r="A6" s="4">
        <v>3</v>
      </c>
      <c r="B6" s="4" t="s">
        <v>264</v>
      </c>
    </row>
    <row r="7" spans="1:12" x14ac:dyDescent="0.6">
      <c r="A7" s="4">
        <v>4</v>
      </c>
      <c r="B7" s="4" t="s">
        <v>265</v>
      </c>
    </row>
    <row r="8" spans="1:12" x14ac:dyDescent="0.6">
      <c r="A8" s="4">
        <v>5</v>
      </c>
      <c r="B8" s="4" t="s">
        <v>266</v>
      </c>
    </row>
  </sheetData>
  <pageMargins left="0.7" right="0.7" top="0.75" bottom="0.75" header="0.3" footer="0.3"/>
  <pageSetup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D15F-F3A2-4B85-863F-3CB8FDDAD268}">
  <sheetPr>
    <pageSetUpPr fitToPage="1"/>
  </sheetPr>
  <dimension ref="A1:J16"/>
  <sheetViews>
    <sheetView workbookViewId="0">
      <selection activeCell="A6" sqref="A6"/>
    </sheetView>
  </sheetViews>
  <sheetFormatPr defaultRowHeight="17" x14ac:dyDescent="0.6"/>
  <cols>
    <col min="1" max="1" width="40.36328125" style="4" bestFit="1" customWidth="1"/>
    <col min="2" max="10" width="16.08984375" style="4" bestFit="1" customWidth="1"/>
    <col min="11" max="11" width="12.54296875" style="4" bestFit="1" customWidth="1"/>
    <col min="12" max="16384" width="8.7265625" style="4"/>
  </cols>
  <sheetData>
    <row r="1" spans="1:10" x14ac:dyDescent="0.6">
      <c r="A1" s="3" t="s">
        <v>242</v>
      </c>
    </row>
    <row r="2" spans="1:10" x14ac:dyDescent="0.6">
      <c r="A2" s="112" t="s">
        <v>3</v>
      </c>
      <c r="B2" s="108" t="s">
        <v>54</v>
      </c>
      <c r="C2" s="108"/>
      <c r="D2" s="108"/>
      <c r="E2" s="108"/>
      <c r="F2" s="108"/>
      <c r="G2" s="108"/>
      <c r="H2" s="108"/>
      <c r="I2" s="108"/>
      <c r="J2" s="108"/>
    </row>
    <row r="3" spans="1:10" x14ac:dyDescent="0.6">
      <c r="A3" s="112"/>
      <c r="B3" s="83" t="s">
        <v>45</v>
      </c>
      <c r="C3" s="83" t="s">
        <v>46</v>
      </c>
      <c r="D3" s="83" t="s">
        <v>47</v>
      </c>
      <c r="E3" s="83" t="s">
        <v>48</v>
      </c>
      <c r="F3" s="83" t="s">
        <v>49</v>
      </c>
      <c r="G3" s="83" t="s">
        <v>50</v>
      </c>
      <c r="H3" s="83" t="s">
        <v>51</v>
      </c>
      <c r="I3" s="83" t="s">
        <v>52</v>
      </c>
      <c r="J3" s="83" t="s">
        <v>53</v>
      </c>
    </row>
    <row r="4" spans="1:10" x14ac:dyDescent="0.6">
      <c r="A4" s="5" t="s">
        <v>243</v>
      </c>
      <c r="B4" s="56">
        <v>0.9</v>
      </c>
      <c r="C4" s="56">
        <v>0.9</v>
      </c>
      <c r="D4" s="56">
        <v>0.95</v>
      </c>
      <c r="E4" s="56">
        <v>0.95</v>
      </c>
      <c r="F4" s="56">
        <v>1</v>
      </c>
      <c r="G4" s="56">
        <v>1</v>
      </c>
      <c r="H4" s="56">
        <v>1</v>
      </c>
      <c r="I4" s="56">
        <v>1</v>
      </c>
      <c r="J4" s="56">
        <v>1</v>
      </c>
    </row>
    <row r="5" spans="1:10" x14ac:dyDescent="0.6">
      <c r="A5" s="5" t="s">
        <v>252</v>
      </c>
      <c r="B5" s="84">
        <f t="shared" ref="B5:J5" si="0">$B$10*B4</f>
        <v>816466.5</v>
      </c>
      <c r="C5" s="84">
        <f t="shared" si="0"/>
        <v>816466.5</v>
      </c>
      <c r="D5" s="84">
        <f t="shared" si="0"/>
        <v>861825.75</v>
      </c>
      <c r="E5" s="84">
        <f t="shared" si="0"/>
        <v>861825.75</v>
      </c>
      <c r="F5" s="84">
        <f t="shared" si="0"/>
        <v>907185</v>
      </c>
      <c r="G5" s="84">
        <f t="shared" si="0"/>
        <v>907185</v>
      </c>
      <c r="H5" s="84">
        <f t="shared" si="0"/>
        <v>907185</v>
      </c>
      <c r="I5" s="84">
        <f t="shared" si="0"/>
        <v>907185</v>
      </c>
      <c r="J5" s="84">
        <f t="shared" si="0"/>
        <v>907185</v>
      </c>
    </row>
    <row r="6" spans="1:10" x14ac:dyDescent="0.6">
      <c r="A6" s="5" t="s">
        <v>244</v>
      </c>
      <c r="B6" s="54">
        <f>B5*$C$14*12/907.185</f>
        <v>1134000</v>
      </c>
      <c r="C6" s="54">
        <f>C5*$C$14*12*1.1/907.185</f>
        <v>1247400</v>
      </c>
      <c r="D6" s="54">
        <f t="shared" ref="D6:J6" si="1">D5*$C$14*12*1.1/907.185</f>
        <v>1316700</v>
      </c>
      <c r="E6" s="54">
        <f t="shared" si="1"/>
        <v>1316700</v>
      </c>
      <c r="F6" s="54">
        <f t="shared" si="1"/>
        <v>1386000</v>
      </c>
      <c r="G6" s="54">
        <f t="shared" si="1"/>
        <v>1386000</v>
      </c>
      <c r="H6" s="54">
        <f t="shared" si="1"/>
        <v>1386000</v>
      </c>
      <c r="I6" s="54">
        <f t="shared" si="1"/>
        <v>1386000</v>
      </c>
      <c r="J6" s="54">
        <f t="shared" si="1"/>
        <v>1386000</v>
      </c>
    </row>
    <row r="7" spans="1:10" x14ac:dyDescent="0.6">
      <c r="B7" s="29"/>
      <c r="C7" s="29"/>
      <c r="D7" s="29"/>
      <c r="E7" s="29"/>
      <c r="F7" s="29"/>
      <c r="G7" s="29"/>
      <c r="H7" s="29"/>
      <c r="I7" s="29"/>
      <c r="J7" s="29"/>
    </row>
    <row r="8" spans="1:10" x14ac:dyDescent="0.6">
      <c r="A8" s="3" t="s">
        <v>245</v>
      </c>
    </row>
    <row r="10" spans="1:10" x14ac:dyDescent="0.6">
      <c r="A10" s="4" t="s">
        <v>246</v>
      </c>
      <c r="B10" s="85">
        <f>250*4*907.185</f>
        <v>907185</v>
      </c>
      <c r="C10" s="4" t="s">
        <v>258</v>
      </c>
      <c r="E10" s="86"/>
      <c r="G10" s="52"/>
    </row>
    <row r="11" spans="1:10" x14ac:dyDescent="0.6">
      <c r="A11" s="4" t="s">
        <v>247</v>
      </c>
      <c r="B11" s="87" t="s">
        <v>251</v>
      </c>
    </row>
    <row r="13" spans="1:10" s="90" customFormat="1" ht="58" customHeight="1" x14ac:dyDescent="0.35">
      <c r="A13" s="88" t="s">
        <v>248</v>
      </c>
      <c r="B13" s="89" t="s">
        <v>249</v>
      </c>
      <c r="C13" s="89" t="s">
        <v>254</v>
      </c>
    </row>
    <row r="14" spans="1:10" s="90" customFormat="1" x14ac:dyDescent="0.35">
      <c r="A14" s="88" t="s">
        <v>250</v>
      </c>
      <c r="B14" s="91">
        <f>B10</f>
        <v>907185</v>
      </c>
      <c r="C14" s="92">
        <v>105</v>
      </c>
    </row>
    <row r="15" spans="1:10" s="90" customFormat="1" x14ac:dyDescent="0.35">
      <c r="B15" s="93"/>
      <c r="C15" s="94"/>
      <c r="D15" s="94"/>
    </row>
    <row r="16" spans="1:10" x14ac:dyDescent="0.6">
      <c r="A16" s="4" t="s">
        <v>260</v>
      </c>
    </row>
  </sheetData>
  <mergeCells count="2">
    <mergeCell ref="A2:A3"/>
    <mergeCell ref="B2:J2"/>
  </mergeCells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152</v>
      </c>
    </row>
    <row r="2" spans="1:11" x14ac:dyDescent="0.35"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  <c r="J2" t="s">
        <v>52</v>
      </c>
      <c r="K2" t="s">
        <v>53</v>
      </c>
    </row>
    <row r="3" spans="1:11" x14ac:dyDescent="0.35">
      <c r="A3" t="s">
        <v>153</v>
      </c>
      <c r="C3">
        <f>'Ann 4'!C14/300*270</f>
        <v>1020600</v>
      </c>
      <c r="D3">
        <f>'Ann 4'!D14/300*270</f>
        <v>1122660</v>
      </c>
      <c r="E3">
        <f>'Ann 4'!E14/300*270</f>
        <v>1185030</v>
      </c>
      <c r="F3">
        <f>'Ann 4'!F14/300*270</f>
        <v>1185030</v>
      </c>
      <c r="G3">
        <f>'Ann 4'!G14/300*270</f>
        <v>1247400</v>
      </c>
      <c r="H3">
        <f>'Ann 4'!H14/300*270</f>
        <v>1247400</v>
      </c>
      <c r="I3">
        <f>'Ann 4'!I14/300*270</f>
        <v>1247400</v>
      </c>
      <c r="J3">
        <f>'Ann 4'!J14/300*270</f>
        <v>1247400</v>
      </c>
      <c r="K3">
        <f>'Ann 4'!K14/300*270</f>
        <v>1247400</v>
      </c>
    </row>
    <row r="4" spans="1:11" x14ac:dyDescent="0.35">
      <c r="A4" t="s">
        <v>154</v>
      </c>
      <c r="C4">
        <v>5000000</v>
      </c>
    </row>
    <row r="5" spans="1:11" x14ac:dyDescent="0.35">
      <c r="A5" t="s">
        <v>155</v>
      </c>
      <c r="C5">
        <v>21492978</v>
      </c>
    </row>
    <row r="7" spans="1:11" x14ac:dyDescent="0.35">
      <c r="A7" t="s">
        <v>156</v>
      </c>
      <c r="C7">
        <f>'Ann 3'!G23</f>
        <v>2285000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C37"/>
  <sheetViews>
    <sheetView topLeftCell="A11" workbookViewId="0">
      <selection activeCell="C34" sqref="C34"/>
    </sheetView>
  </sheetViews>
  <sheetFormatPr defaultRowHeight="17" x14ac:dyDescent="0.6"/>
  <cols>
    <col min="1" max="1" width="8.7265625" style="4"/>
    <col min="2" max="2" width="44.90625" style="4" customWidth="1"/>
    <col min="3" max="3" width="13.26953125" style="4" customWidth="1"/>
    <col min="4" max="16384" width="8.7265625" style="4"/>
  </cols>
  <sheetData>
    <row r="1" spans="1:3" x14ac:dyDescent="0.6">
      <c r="A1" s="3" t="s">
        <v>222</v>
      </c>
    </row>
    <row r="3" spans="1:3" s="10" customFormat="1" x14ac:dyDescent="0.6">
      <c r="A3" s="9" t="s">
        <v>0</v>
      </c>
    </row>
    <row r="5" spans="1:3" x14ac:dyDescent="0.6">
      <c r="A5" s="23" t="s">
        <v>1</v>
      </c>
      <c r="B5" s="24"/>
      <c r="C5" s="25"/>
    </row>
    <row r="6" spans="1:3" ht="34" x14ac:dyDescent="0.6">
      <c r="A6" s="8" t="s">
        <v>2</v>
      </c>
      <c r="B6" s="8" t="s">
        <v>3</v>
      </c>
      <c r="C6" s="26" t="s">
        <v>4</v>
      </c>
    </row>
    <row r="7" spans="1:3" x14ac:dyDescent="0.6">
      <c r="A7" s="11">
        <v>1</v>
      </c>
      <c r="B7" s="12" t="s">
        <v>6</v>
      </c>
      <c r="C7" s="13"/>
    </row>
    <row r="8" spans="1:3" x14ac:dyDescent="0.6">
      <c r="A8" s="11" t="s">
        <v>5</v>
      </c>
      <c r="B8" s="12" t="s">
        <v>7</v>
      </c>
      <c r="C8" s="14">
        <v>0</v>
      </c>
    </row>
    <row r="9" spans="1:3" x14ac:dyDescent="0.6">
      <c r="A9" s="11"/>
      <c r="B9" s="12" t="s">
        <v>8</v>
      </c>
      <c r="C9" s="14">
        <f>SUM(C8)</f>
        <v>0</v>
      </c>
    </row>
    <row r="10" spans="1:3" x14ac:dyDescent="0.6">
      <c r="A10" s="11"/>
      <c r="B10" s="12"/>
      <c r="C10" s="13"/>
    </row>
    <row r="11" spans="1:3" x14ac:dyDescent="0.6">
      <c r="A11" s="11">
        <v>2</v>
      </c>
      <c r="B11" s="12" t="s">
        <v>9</v>
      </c>
      <c r="C11" s="13"/>
    </row>
    <row r="12" spans="1:3" x14ac:dyDescent="0.6">
      <c r="A12" s="11" t="s">
        <v>5</v>
      </c>
      <c r="B12" s="12" t="s">
        <v>9</v>
      </c>
      <c r="C12" s="15">
        <f>'Ann 3'!G8/100000</f>
        <v>4</v>
      </c>
    </row>
    <row r="13" spans="1:3" x14ac:dyDescent="0.6">
      <c r="A13" s="11"/>
      <c r="B13" s="12" t="s">
        <v>8</v>
      </c>
      <c r="C13" s="15">
        <f>C12</f>
        <v>4</v>
      </c>
    </row>
    <row r="14" spans="1:3" x14ac:dyDescent="0.6">
      <c r="A14" s="11"/>
      <c r="B14" s="12"/>
      <c r="C14" s="13"/>
    </row>
    <row r="15" spans="1:3" x14ac:dyDescent="0.6">
      <c r="A15" s="11">
        <v>3</v>
      </c>
      <c r="B15" s="12" t="s">
        <v>10</v>
      </c>
      <c r="C15" s="13"/>
    </row>
    <row r="16" spans="1:3" x14ac:dyDescent="0.6">
      <c r="A16" s="11" t="s">
        <v>5</v>
      </c>
      <c r="B16" s="12" t="s">
        <v>11</v>
      </c>
      <c r="C16" s="15">
        <f>'Ann 3'!G21/100000</f>
        <v>18.850000000000001</v>
      </c>
    </row>
    <row r="17" spans="1:3" x14ac:dyDescent="0.6">
      <c r="A17" s="11"/>
      <c r="B17" s="12" t="s">
        <v>8</v>
      </c>
      <c r="C17" s="16">
        <f>C16</f>
        <v>18.850000000000001</v>
      </c>
    </row>
    <row r="18" spans="1:3" x14ac:dyDescent="0.6">
      <c r="A18" s="11"/>
      <c r="B18" s="12"/>
      <c r="C18" s="13"/>
    </row>
    <row r="19" spans="1:3" x14ac:dyDescent="0.6">
      <c r="A19" s="11">
        <v>4</v>
      </c>
      <c r="B19" s="12" t="s">
        <v>12</v>
      </c>
      <c r="C19" s="13"/>
    </row>
    <row r="20" spans="1:3" x14ac:dyDescent="0.6">
      <c r="A20" s="11" t="s">
        <v>5</v>
      </c>
      <c r="B20" s="12" t="s">
        <v>13</v>
      </c>
      <c r="C20" s="14">
        <v>0</v>
      </c>
    </row>
    <row r="21" spans="1:3" x14ac:dyDescent="0.6">
      <c r="A21" s="11"/>
      <c r="B21" s="12"/>
      <c r="C21" s="14"/>
    </row>
    <row r="22" spans="1:3" x14ac:dyDescent="0.6">
      <c r="A22" s="11">
        <v>5</v>
      </c>
      <c r="B22" s="12" t="s">
        <v>14</v>
      </c>
      <c r="C22" s="14">
        <v>2.15</v>
      </c>
    </row>
    <row r="23" spans="1:3" x14ac:dyDescent="0.6">
      <c r="A23" s="11"/>
      <c r="B23" s="12"/>
      <c r="C23" s="14"/>
    </row>
    <row r="24" spans="1:3" x14ac:dyDescent="0.6">
      <c r="A24" s="11">
        <v>6</v>
      </c>
      <c r="B24" s="12" t="s">
        <v>15</v>
      </c>
      <c r="C24" s="14"/>
    </row>
    <row r="25" spans="1:3" x14ac:dyDescent="0.6">
      <c r="A25" s="11" t="s">
        <v>5</v>
      </c>
      <c r="B25" s="12" t="s">
        <v>16</v>
      </c>
      <c r="C25" s="14">
        <v>0</v>
      </c>
    </row>
    <row r="26" spans="1:3" x14ac:dyDescent="0.6">
      <c r="A26" s="11"/>
      <c r="B26" s="12" t="s">
        <v>8</v>
      </c>
      <c r="C26" s="14"/>
    </row>
    <row r="27" spans="1:3" x14ac:dyDescent="0.6">
      <c r="A27" s="11"/>
      <c r="B27" s="12"/>
      <c r="C27" s="14"/>
    </row>
    <row r="28" spans="1:3" x14ac:dyDescent="0.6">
      <c r="A28" s="11"/>
      <c r="B28" s="12" t="s">
        <v>17</v>
      </c>
      <c r="C28" s="13"/>
    </row>
    <row r="29" spans="1:3" ht="34" x14ac:dyDescent="0.6">
      <c r="A29" s="11"/>
      <c r="B29" s="17" t="s">
        <v>18</v>
      </c>
      <c r="C29" s="13"/>
    </row>
    <row r="30" spans="1:3" x14ac:dyDescent="0.6">
      <c r="A30" s="11" t="s">
        <v>5</v>
      </c>
      <c r="B30" s="12" t="s">
        <v>19</v>
      </c>
      <c r="C30" s="14">
        <v>0</v>
      </c>
    </row>
    <row r="31" spans="1:3" x14ac:dyDescent="0.6">
      <c r="A31" s="11" t="s">
        <v>20</v>
      </c>
      <c r="B31" s="12" t="s">
        <v>21</v>
      </c>
      <c r="C31" s="14">
        <v>0</v>
      </c>
    </row>
    <row r="32" spans="1:3" x14ac:dyDescent="0.6">
      <c r="A32" s="11"/>
      <c r="B32" s="12" t="s">
        <v>8</v>
      </c>
      <c r="C32" s="14">
        <v>0</v>
      </c>
    </row>
    <row r="33" spans="1:3" x14ac:dyDescent="0.6">
      <c r="A33" s="11"/>
      <c r="B33" s="12"/>
      <c r="C33" s="13"/>
    </row>
    <row r="34" spans="1:3" x14ac:dyDescent="0.6">
      <c r="A34" s="18"/>
      <c r="B34" s="19" t="s">
        <v>22</v>
      </c>
      <c r="C34" s="20">
        <f>C32+C25+C22+C17+C13+C20</f>
        <v>25</v>
      </c>
    </row>
    <row r="35" spans="1:3" x14ac:dyDescent="0.6">
      <c r="A35" s="21"/>
    </row>
    <row r="36" spans="1:3" x14ac:dyDescent="0.6">
      <c r="A36" s="21"/>
    </row>
    <row r="37" spans="1:3" x14ac:dyDescent="0.6">
      <c r="A37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C7" sqref="C7"/>
    </sheetView>
  </sheetViews>
  <sheetFormatPr defaultRowHeight="17" x14ac:dyDescent="0.6"/>
  <cols>
    <col min="1" max="1" width="8.7265625" style="4"/>
    <col min="2" max="2" width="22.08984375" style="4" customWidth="1"/>
    <col min="3" max="3" width="18.81640625" style="4" bestFit="1" customWidth="1"/>
    <col min="4" max="16384" width="8.7265625" style="4"/>
  </cols>
  <sheetData>
    <row r="1" spans="1:4" x14ac:dyDescent="0.6">
      <c r="A1" s="3" t="s">
        <v>23</v>
      </c>
    </row>
    <row r="3" spans="1:4" x14ac:dyDescent="0.6">
      <c r="A3" s="34" t="s">
        <v>24</v>
      </c>
      <c r="B3" s="24" t="s">
        <v>25</v>
      </c>
      <c r="C3" s="25" t="s">
        <v>4</v>
      </c>
    </row>
    <row r="4" spans="1:4" x14ac:dyDescent="0.6">
      <c r="A4" s="27">
        <v>1</v>
      </c>
      <c r="B4" s="10" t="s">
        <v>26</v>
      </c>
      <c r="C4" s="16">
        <f>C8*10%</f>
        <v>2.5</v>
      </c>
      <c r="D4" s="28"/>
    </row>
    <row r="5" spans="1:4" x14ac:dyDescent="0.6">
      <c r="A5" s="27">
        <v>2</v>
      </c>
      <c r="B5" s="10" t="s">
        <v>27</v>
      </c>
      <c r="C5" s="16">
        <v>0</v>
      </c>
      <c r="D5" s="29"/>
    </row>
    <row r="6" spans="1:4" x14ac:dyDescent="0.6">
      <c r="A6" s="27">
        <v>3</v>
      </c>
      <c r="B6" s="10" t="s">
        <v>28</v>
      </c>
      <c r="C6" s="16">
        <f>C8-C4-C7</f>
        <v>20.350000000000001</v>
      </c>
      <c r="D6" s="113"/>
    </row>
    <row r="7" spans="1:4" x14ac:dyDescent="0.6">
      <c r="A7" s="27">
        <v>4</v>
      </c>
      <c r="B7" s="10" t="s">
        <v>29</v>
      </c>
      <c r="C7" s="14">
        <f>'Ann 1'!C22</f>
        <v>2.15</v>
      </c>
      <c r="D7" s="113"/>
    </row>
    <row r="8" spans="1:4" x14ac:dyDescent="0.6">
      <c r="A8" s="31"/>
      <c r="B8" s="32" t="s">
        <v>8</v>
      </c>
      <c r="C8" s="33">
        <f>'Ann 1'!C34</f>
        <v>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G26"/>
  <sheetViews>
    <sheetView topLeftCell="A4" workbookViewId="0">
      <selection activeCell="F11" sqref="F11"/>
    </sheetView>
  </sheetViews>
  <sheetFormatPr defaultRowHeight="17" x14ac:dyDescent="0.6"/>
  <cols>
    <col min="1" max="1" width="3.6328125" style="4" customWidth="1"/>
    <col min="2" max="2" width="26.08984375" style="4" customWidth="1"/>
    <col min="3" max="3" width="8.7265625" style="4"/>
    <col min="4" max="4" width="12.7265625" style="4" bestFit="1" customWidth="1"/>
    <col min="5" max="5" width="8.7265625" style="4"/>
    <col min="6" max="6" width="10.54296875" style="4" customWidth="1"/>
    <col min="7" max="7" width="11" style="4" bestFit="1" customWidth="1"/>
    <col min="8" max="16384" width="8.7265625" style="4"/>
  </cols>
  <sheetData>
    <row r="1" spans="1:7" x14ac:dyDescent="0.6">
      <c r="A1" s="3" t="s">
        <v>30</v>
      </c>
    </row>
    <row r="3" spans="1:7" s="3" customFormat="1" x14ac:dyDescent="0.6">
      <c r="A3" s="80" t="s">
        <v>31</v>
      </c>
      <c r="B3" s="81"/>
      <c r="C3" s="81"/>
      <c r="D3" s="81"/>
      <c r="E3" s="81"/>
      <c r="F3" s="81"/>
      <c r="G3" s="82"/>
    </row>
    <row r="4" spans="1:7" s="3" customFormat="1" x14ac:dyDescent="0.6">
      <c r="A4" s="34" t="s">
        <v>32</v>
      </c>
      <c r="B4" s="24"/>
      <c r="C4" s="24"/>
      <c r="D4" s="24" t="s">
        <v>34</v>
      </c>
      <c r="E4" s="24"/>
      <c r="F4" s="24"/>
      <c r="G4" s="25" t="s">
        <v>37</v>
      </c>
    </row>
    <row r="5" spans="1:7" x14ac:dyDescent="0.6">
      <c r="A5" s="27">
        <v>1</v>
      </c>
      <c r="B5" s="10" t="s">
        <v>33</v>
      </c>
      <c r="C5" s="10"/>
      <c r="D5" s="101" t="s">
        <v>240</v>
      </c>
      <c r="E5" s="75"/>
      <c r="F5" s="76"/>
      <c r="G5" s="104">
        <f>1000*400</f>
        <v>400000</v>
      </c>
    </row>
    <row r="6" spans="1:7" x14ac:dyDescent="0.6">
      <c r="A6" s="27">
        <v>2</v>
      </c>
      <c r="B6" s="10" t="s">
        <v>237</v>
      </c>
      <c r="C6" s="10"/>
      <c r="D6" s="102"/>
      <c r="E6" s="75"/>
      <c r="F6" s="76"/>
      <c r="G6" s="105"/>
    </row>
    <row r="7" spans="1:7" x14ac:dyDescent="0.6">
      <c r="A7" s="27">
        <v>3</v>
      </c>
      <c r="B7" s="10" t="s">
        <v>239</v>
      </c>
      <c r="C7" s="10"/>
      <c r="D7" s="103"/>
      <c r="E7" s="75"/>
      <c r="F7" s="76"/>
      <c r="G7" s="106"/>
    </row>
    <row r="8" spans="1:7" s="3" customFormat="1" x14ac:dyDescent="0.6">
      <c r="A8" s="77" t="s">
        <v>38</v>
      </c>
      <c r="B8" s="78"/>
      <c r="C8" s="78"/>
      <c r="D8" s="78"/>
      <c r="E8" s="78"/>
      <c r="F8" s="78"/>
      <c r="G8" s="79">
        <f>SUM(G5:G5)</f>
        <v>400000</v>
      </c>
    </row>
    <row r="9" spans="1:7" x14ac:dyDescent="0.6">
      <c r="A9" s="27"/>
      <c r="B9" s="10"/>
      <c r="C9" s="10"/>
      <c r="D9" s="10"/>
      <c r="E9" s="10"/>
      <c r="F9" s="10"/>
      <c r="G9" s="13"/>
    </row>
    <row r="10" spans="1:7" x14ac:dyDescent="0.6">
      <c r="A10" s="34" t="s">
        <v>39</v>
      </c>
      <c r="B10" s="24"/>
      <c r="C10" s="24"/>
      <c r="D10" s="24" t="s">
        <v>226</v>
      </c>
      <c r="E10" s="24" t="s">
        <v>35</v>
      </c>
      <c r="F10" s="24" t="s">
        <v>36</v>
      </c>
      <c r="G10" s="25" t="s">
        <v>37</v>
      </c>
    </row>
    <row r="11" spans="1:7" x14ac:dyDescent="0.6">
      <c r="A11" s="27">
        <v>1</v>
      </c>
      <c r="B11" s="10" t="s">
        <v>225</v>
      </c>
      <c r="C11" s="10"/>
      <c r="D11" s="75" t="s">
        <v>227</v>
      </c>
      <c r="E11" s="75">
        <v>4</v>
      </c>
      <c r="F11" s="76">
        <v>300000</v>
      </c>
      <c r="G11" s="46">
        <f t="shared" ref="G11:G19" si="0">F11*E11</f>
        <v>1200000</v>
      </c>
    </row>
    <row r="12" spans="1:7" x14ac:dyDescent="0.6">
      <c r="A12" s="27">
        <v>2</v>
      </c>
      <c r="B12" s="10" t="s">
        <v>228</v>
      </c>
      <c r="C12" s="10"/>
      <c r="D12" s="75"/>
      <c r="E12" s="75">
        <v>1</v>
      </c>
      <c r="F12" s="76">
        <v>80000</v>
      </c>
      <c r="G12" s="46">
        <f t="shared" si="0"/>
        <v>80000</v>
      </c>
    </row>
    <row r="13" spans="1:7" x14ac:dyDescent="0.6">
      <c r="A13" s="27">
        <v>3</v>
      </c>
      <c r="B13" s="10" t="s">
        <v>229</v>
      </c>
      <c r="C13" s="10"/>
      <c r="D13" s="75"/>
      <c r="E13" s="75">
        <v>1</v>
      </c>
      <c r="F13" s="76">
        <v>50000</v>
      </c>
      <c r="G13" s="46">
        <f t="shared" si="0"/>
        <v>50000</v>
      </c>
    </row>
    <row r="14" spans="1:7" x14ac:dyDescent="0.6">
      <c r="A14" s="27">
        <v>4</v>
      </c>
      <c r="B14" s="10" t="s">
        <v>230</v>
      </c>
      <c r="C14" s="10"/>
      <c r="D14" s="75"/>
      <c r="E14" s="75">
        <v>2</v>
      </c>
      <c r="F14" s="76">
        <v>20000</v>
      </c>
      <c r="G14" s="46">
        <f t="shared" si="0"/>
        <v>40000</v>
      </c>
    </row>
    <row r="15" spans="1:7" x14ac:dyDescent="0.6">
      <c r="A15" s="27">
        <v>5</v>
      </c>
      <c r="B15" s="10" t="s">
        <v>232</v>
      </c>
      <c r="C15" s="10"/>
      <c r="D15" s="75"/>
      <c r="E15" s="75">
        <v>2</v>
      </c>
      <c r="F15" s="76">
        <v>15000</v>
      </c>
      <c r="G15" s="46">
        <f t="shared" si="0"/>
        <v>30000</v>
      </c>
    </row>
    <row r="16" spans="1:7" x14ac:dyDescent="0.6">
      <c r="A16" s="27">
        <v>6</v>
      </c>
      <c r="B16" s="10" t="s">
        <v>233</v>
      </c>
      <c r="C16" s="10"/>
      <c r="D16" s="75"/>
      <c r="E16" s="75">
        <v>1</v>
      </c>
      <c r="F16" s="76">
        <v>215000</v>
      </c>
      <c r="G16" s="46">
        <f t="shared" si="0"/>
        <v>215000</v>
      </c>
    </row>
    <row r="17" spans="1:7" x14ac:dyDescent="0.6">
      <c r="A17" s="27">
        <v>7</v>
      </c>
      <c r="B17" s="10" t="s">
        <v>234</v>
      </c>
      <c r="C17" s="10"/>
      <c r="D17" s="75"/>
      <c r="E17" s="75">
        <v>1</v>
      </c>
      <c r="F17" s="76">
        <v>100000</v>
      </c>
      <c r="G17" s="46">
        <f t="shared" si="0"/>
        <v>100000</v>
      </c>
    </row>
    <row r="18" spans="1:7" x14ac:dyDescent="0.6">
      <c r="A18" s="27">
        <v>8</v>
      </c>
      <c r="B18" s="10" t="s">
        <v>235</v>
      </c>
      <c r="C18" s="10"/>
      <c r="D18" s="75"/>
      <c r="E18" s="75">
        <v>1</v>
      </c>
      <c r="F18" s="76">
        <v>50000</v>
      </c>
      <c r="G18" s="46">
        <f t="shared" si="0"/>
        <v>50000</v>
      </c>
    </row>
    <row r="19" spans="1:7" x14ac:dyDescent="0.6">
      <c r="A19" s="27">
        <v>9</v>
      </c>
      <c r="B19" s="10" t="s">
        <v>238</v>
      </c>
      <c r="C19" s="10"/>
      <c r="D19" s="75"/>
      <c r="E19" s="75">
        <v>1</v>
      </c>
      <c r="F19" s="76">
        <v>20000</v>
      </c>
      <c r="G19" s="46">
        <f t="shared" si="0"/>
        <v>20000</v>
      </c>
    </row>
    <row r="20" spans="1:7" x14ac:dyDescent="0.6">
      <c r="A20" s="27">
        <v>10</v>
      </c>
      <c r="B20" s="10" t="s">
        <v>236</v>
      </c>
      <c r="C20" s="10"/>
      <c r="D20" s="75"/>
      <c r="E20" s="75"/>
      <c r="F20" s="76">
        <v>100000</v>
      </c>
      <c r="G20" s="46">
        <f>F20</f>
        <v>100000</v>
      </c>
    </row>
    <row r="21" spans="1:7" s="3" customFormat="1" x14ac:dyDescent="0.6">
      <c r="A21" s="77" t="s">
        <v>40</v>
      </c>
      <c r="B21" s="78"/>
      <c r="C21" s="78"/>
      <c r="D21" s="78"/>
      <c r="E21" s="78"/>
      <c r="F21" s="78"/>
      <c r="G21" s="79">
        <f>SUM(G11:G20)</f>
        <v>1885000</v>
      </c>
    </row>
    <row r="22" spans="1:7" x14ac:dyDescent="0.6">
      <c r="A22" s="27"/>
      <c r="B22" s="10"/>
      <c r="C22" s="10"/>
      <c r="D22" s="10"/>
      <c r="E22" s="10"/>
      <c r="F22" s="10"/>
      <c r="G22" s="13"/>
    </row>
    <row r="23" spans="1:7" s="3" customFormat="1" x14ac:dyDescent="0.6">
      <c r="A23" s="77" t="s">
        <v>41</v>
      </c>
      <c r="B23" s="78"/>
      <c r="C23" s="78"/>
      <c r="D23" s="78"/>
      <c r="E23" s="78"/>
      <c r="F23" s="78"/>
      <c r="G23" s="79">
        <f>G21+G8</f>
        <v>2285000</v>
      </c>
    </row>
    <row r="24" spans="1:7" x14ac:dyDescent="0.6">
      <c r="G24" s="52"/>
    </row>
    <row r="25" spans="1:7" x14ac:dyDescent="0.6">
      <c r="G25" s="52"/>
    </row>
    <row r="26" spans="1:7" x14ac:dyDescent="0.6">
      <c r="G26" s="52"/>
    </row>
  </sheetData>
  <mergeCells count="2">
    <mergeCell ref="D5:D7"/>
    <mergeCell ref="G5:G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36"/>
  <sheetViews>
    <sheetView topLeftCell="A27" workbookViewId="0">
      <selection activeCell="A37" sqref="A37"/>
    </sheetView>
  </sheetViews>
  <sheetFormatPr defaultRowHeight="17" x14ac:dyDescent="0.6"/>
  <cols>
    <col min="1" max="1" width="8.7265625" style="4"/>
    <col min="2" max="2" width="54.1796875" style="4" bestFit="1" customWidth="1"/>
    <col min="3" max="11" width="13.6328125" style="4" bestFit="1" customWidth="1"/>
    <col min="12" max="16384" width="8.7265625" style="4"/>
  </cols>
  <sheetData>
    <row r="1" spans="1:11" x14ac:dyDescent="0.6">
      <c r="A1" s="3" t="s">
        <v>42</v>
      </c>
    </row>
    <row r="3" spans="1:11" s="3" customFormat="1" x14ac:dyDescent="0.6">
      <c r="A3" s="107" t="s">
        <v>43</v>
      </c>
      <c r="B3" s="107" t="s">
        <v>44</v>
      </c>
      <c r="C3" s="107" t="s">
        <v>54</v>
      </c>
      <c r="D3" s="107"/>
      <c r="E3" s="107"/>
      <c r="F3" s="107"/>
      <c r="G3" s="107"/>
      <c r="H3" s="107"/>
      <c r="I3" s="107"/>
      <c r="J3" s="107"/>
      <c r="K3" s="107"/>
    </row>
    <row r="4" spans="1:11" s="3" customFormat="1" x14ac:dyDescent="0.6">
      <c r="A4" s="107"/>
      <c r="B4" s="107"/>
      <c r="C4" s="37" t="s">
        <v>45</v>
      </c>
      <c r="D4" s="37" t="s">
        <v>46</v>
      </c>
      <c r="E4" s="37" t="s">
        <v>47</v>
      </c>
      <c r="F4" s="37" t="s">
        <v>48</v>
      </c>
      <c r="G4" s="37" t="s">
        <v>49</v>
      </c>
      <c r="H4" s="37" t="s">
        <v>50</v>
      </c>
      <c r="I4" s="37" t="s">
        <v>51</v>
      </c>
      <c r="J4" s="37" t="s">
        <v>52</v>
      </c>
      <c r="K4" s="37" t="s">
        <v>53</v>
      </c>
    </row>
    <row r="5" spans="1:11" x14ac:dyDescent="0.6">
      <c r="A5" s="5"/>
      <c r="B5" s="5" t="s">
        <v>55</v>
      </c>
      <c r="C5" s="5">
        <v>12</v>
      </c>
      <c r="D5" s="5">
        <v>12</v>
      </c>
      <c r="E5" s="5">
        <v>12</v>
      </c>
      <c r="F5" s="5">
        <v>12</v>
      </c>
      <c r="G5" s="5">
        <v>12</v>
      </c>
      <c r="H5" s="5">
        <v>12</v>
      </c>
      <c r="I5" s="5">
        <v>12</v>
      </c>
      <c r="J5" s="5">
        <v>12</v>
      </c>
      <c r="K5" s="5">
        <v>12</v>
      </c>
    </row>
    <row r="6" spans="1:11" x14ac:dyDescent="0.6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6">
      <c r="A7" s="5"/>
      <c r="B7" s="5" t="s">
        <v>57</v>
      </c>
      <c r="C7" s="35">
        <f>'Ann 8'!E8</f>
        <v>222000</v>
      </c>
      <c r="D7" s="35">
        <f>1.05*C7</f>
        <v>233100</v>
      </c>
      <c r="E7" s="35">
        <f t="shared" ref="E7:K7" si="0">1.05*D7</f>
        <v>244755</v>
      </c>
      <c r="F7" s="35">
        <f t="shared" si="0"/>
        <v>256992.75</v>
      </c>
      <c r="G7" s="35">
        <f t="shared" si="0"/>
        <v>269842.38750000001</v>
      </c>
      <c r="H7" s="35">
        <f t="shared" si="0"/>
        <v>283334.50687500002</v>
      </c>
      <c r="I7" s="35">
        <f t="shared" si="0"/>
        <v>297501.23221875005</v>
      </c>
      <c r="J7" s="35">
        <f t="shared" si="0"/>
        <v>312376.29382968758</v>
      </c>
      <c r="K7" s="35">
        <f t="shared" si="0"/>
        <v>327995.10852117196</v>
      </c>
    </row>
    <row r="8" spans="1:11" x14ac:dyDescent="0.6">
      <c r="A8" s="5"/>
      <c r="B8" s="5" t="s">
        <v>170</v>
      </c>
      <c r="C8" s="35">
        <f>40000+C33</f>
        <v>115000</v>
      </c>
      <c r="D8" s="35">
        <f t="shared" ref="D8:K8" si="1">40000+D33</f>
        <v>115000</v>
      </c>
      <c r="E8" s="35">
        <f t="shared" si="1"/>
        <v>118750</v>
      </c>
      <c r="F8" s="35">
        <f t="shared" si="1"/>
        <v>118750</v>
      </c>
      <c r="G8" s="35">
        <f t="shared" si="1"/>
        <v>122687.5</v>
      </c>
      <c r="H8" s="35">
        <f t="shared" si="1"/>
        <v>122687.5</v>
      </c>
      <c r="I8" s="35">
        <f t="shared" si="1"/>
        <v>122687.5</v>
      </c>
      <c r="J8" s="35">
        <f t="shared" si="1"/>
        <v>122687.5</v>
      </c>
      <c r="K8" s="35">
        <f t="shared" si="1"/>
        <v>122687.5</v>
      </c>
    </row>
    <row r="9" spans="1:11" x14ac:dyDescent="0.6">
      <c r="A9" s="5"/>
      <c r="B9" s="5" t="s">
        <v>241</v>
      </c>
      <c r="C9" s="35">
        <v>10000</v>
      </c>
      <c r="D9" s="35">
        <v>10000</v>
      </c>
      <c r="E9" s="35">
        <v>10000</v>
      </c>
      <c r="F9" s="35">
        <v>10000</v>
      </c>
      <c r="G9" s="35">
        <v>10000</v>
      </c>
      <c r="H9" s="35">
        <v>10000</v>
      </c>
      <c r="I9" s="35">
        <v>10000</v>
      </c>
      <c r="J9" s="35">
        <v>10000</v>
      </c>
      <c r="K9" s="35">
        <v>10000</v>
      </c>
    </row>
    <row r="10" spans="1:11" x14ac:dyDescent="0.6">
      <c r="A10" s="5"/>
      <c r="B10" s="5" t="s">
        <v>169</v>
      </c>
      <c r="C10" s="35">
        <v>15000</v>
      </c>
      <c r="D10" s="35">
        <v>15000</v>
      </c>
      <c r="E10" s="35">
        <v>15000</v>
      </c>
      <c r="F10" s="35">
        <v>15000</v>
      </c>
      <c r="G10" s="35">
        <v>15000</v>
      </c>
      <c r="H10" s="35">
        <v>15000</v>
      </c>
      <c r="I10" s="35">
        <v>15000</v>
      </c>
      <c r="J10" s="35">
        <v>15000</v>
      </c>
      <c r="K10" s="35">
        <v>15000</v>
      </c>
    </row>
    <row r="11" spans="1:11" x14ac:dyDescent="0.6">
      <c r="A11" s="5"/>
      <c r="B11" s="5" t="s">
        <v>8</v>
      </c>
      <c r="C11" s="35">
        <f t="shared" ref="C11:K11" si="2">SUM(C7:C10)</f>
        <v>362000</v>
      </c>
      <c r="D11" s="35">
        <f t="shared" si="2"/>
        <v>373100</v>
      </c>
      <c r="E11" s="35">
        <f t="shared" si="2"/>
        <v>388505</v>
      </c>
      <c r="F11" s="35">
        <f t="shared" si="2"/>
        <v>400742.75</v>
      </c>
      <c r="G11" s="35">
        <f t="shared" si="2"/>
        <v>417529.88750000001</v>
      </c>
      <c r="H11" s="35">
        <f t="shared" si="2"/>
        <v>431022.00687500002</v>
      </c>
      <c r="I11" s="35">
        <f t="shared" si="2"/>
        <v>445188.73221875005</v>
      </c>
      <c r="J11" s="35">
        <f t="shared" si="2"/>
        <v>460063.79382968758</v>
      </c>
      <c r="K11" s="35">
        <f t="shared" si="2"/>
        <v>475682.60852117196</v>
      </c>
    </row>
    <row r="12" spans="1:11" x14ac:dyDescent="0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6">
      <c r="A13" s="5"/>
      <c r="B13" s="5" t="s">
        <v>97</v>
      </c>
      <c r="C13" s="35">
        <f>C11</f>
        <v>362000</v>
      </c>
      <c r="D13" s="35">
        <f t="shared" ref="D13:K13" si="3">D11</f>
        <v>373100</v>
      </c>
      <c r="E13" s="35">
        <f t="shared" si="3"/>
        <v>388505</v>
      </c>
      <c r="F13" s="35">
        <f t="shared" si="3"/>
        <v>400742.75</v>
      </c>
      <c r="G13" s="35">
        <f t="shared" si="3"/>
        <v>417529.88750000001</v>
      </c>
      <c r="H13" s="35">
        <f t="shared" si="3"/>
        <v>431022.00687500002</v>
      </c>
      <c r="I13" s="35">
        <f t="shared" si="3"/>
        <v>445188.73221875005</v>
      </c>
      <c r="J13" s="35">
        <f t="shared" si="3"/>
        <v>460063.79382968758</v>
      </c>
      <c r="K13" s="35">
        <f t="shared" si="3"/>
        <v>475682.60852117196</v>
      </c>
    </row>
    <row r="14" spans="1:11" x14ac:dyDescent="0.6">
      <c r="A14" s="5"/>
      <c r="B14" s="5" t="s">
        <v>98</v>
      </c>
      <c r="C14" s="35">
        <f>Budgets!B6</f>
        <v>1134000</v>
      </c>
      <c r="D14" s="35">
        <f>Budgets!C6</f>
        <v>1247400</v>
      </c>
      <c r="E14" s="35">
        <f>Budgets!D6</f>
        <v>1316700</v>
      </c>
      <c r="F14" s="35">
        <f>Budgets!E6</f>
        <v>1316700</v>
      </c>
      <c r="G14" s="35">
        <f>Budgets!F6</f>
        <v>1386000</v>
      </c>
      <c r="H14" s="35">
        <f>Budgets!G6</f>
        <v>1386000</v>
      </c>
      <c r="I14" s="35">
        <f>Budgets!H6</f>
        <v>1386000</v>
      </c>
      <c r="J14" s="35">
        <f>Budgets!I6</f>
        <v>1386000</v>
      </c>
      <c r="K14" s="35">
        <f>Budgets!J6</f>
        <v>1386000</v>
      </c>
    </row>
    <row r="15" spans="1:11" x14ac:dyDescent="0.6">
      <c r="A15" s="5"/>
      <c r="B15" s="5" t="s">
        <v>99</v>
      </c>
      <c r="C15" s="35">
        <f>C14-C13</f>
        <v>772000</v>
      </c>
      <c r="D15" s="35">
        <f t="shared" ref="D15:K15" si="4">D14-D13</f>
        <v>874300</v>
      </c>
      <c r="E15" s="35">
        <f t="shared" si="4"/>
        <v>928195</v>
      </c>
      <c r="F15" s="35">
        <f t="shared" si="4"/>
        <v>915957.25</v>
      </c>
      <c r="G15" s="35">
        <f t="shared" si="4"/>
        <v>968470.11250000005</v>
      </c>
      <c r="H15" s="35">
        <f t="shared" si="4"/>
        <v>954977.99312500004</v>
      </c>
      <c r="I15" s="35">
        <f t="shared" si="4"/>
        <v>940811.26778124995</v>
      </c>
      <c r="J15" s="35">
        <f t="shared" si="4"/>
        <v>925936.20617031236</v>
      </c>
      <c r="K15" s="35">
        <f t="shared" si="4"/>
        <v>910317.39147882804</v>
      </c>
    </row>
    <row r="16" spans="1:11" x14ac:dyDescent="0.6">
      <c r="A16" s="5"/>
      <c r="B16" s="5"/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6">
      <c r="A17" s="5"/>
      <c r="B17" s="5" t="s">
        <v>100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6">
      <c r="A18" s="5"/>
      <c r="B18" s="5" t="s">
        <v>101</v>
      </c>
      <c r="C18" s="35">
        <f>SUM('Ann 13'!E9:E12)*100000</f>
        <v>120925.96153846156</v>
      </c>
      <c r="D18" s="35">
        <f>SUM('Ann 13'!E13:E16)*100000</f>
        <v>105663.46153846153</v>
      </c>
      <c r="E18" s="35">
        <f>SUM('Ann 13'!E17:E20)*100000</f>
        <v>86878.846153846142</v>
      </c>
      <c r="F18" s="35">
        <f>SUM('Ann 13'!E21:E24)*100000</f>
        <v>68094.230769230751</v>
      </c>
      <c r="G18" s="35">
        <f>SUM('Ann 13'!E25:E28)*100000</f>
        <v>49309.615384615354</v>
      </c>
      <c r="H18" s="35">
        <f>SUM('Ann 13'!E29:E32)*100000</f>
        <v>30524.999999999967</v>
      </c>
      <c r="I18" s="35">
        <f>SUM('Ann 13'!E33:E36)*100000</f>
        <v>11740.384615384577</v>
      </c>
      <c r="J18" s="35">
        <v>0</v>
      </c>
      <c r="K18" s="35">
        <v>0</v>
      </c>
    </row>
    <row r="19" spans="1:11" x14ac:dyDescent="0.6">
      <c r="A19" s="5"/>
      <c r="B19" s="5" t="s">
        <v>179</v>
      </c>
      <c r="C19" s="35">
        <f>'Ann 2'!$C$7*100000*10%</f>
        <v>21500</v>
      </c>
      <c r="D19" s="35">
        <f>'Ann 2'!$C$7*100000*10%</f>
        <v>21500</v>
      </c>
      <c r="E19" s="35">
        <f>'Ann 2'!$C$7*100000*10%</f>
        <v>21500</v>
      </c>
      <c r="F19" s="35">
        <f>'Ann 2'!$C$7*100000*10%</f>
        <v>21500</v>
      </c>
      <c r="G19" s="35">
        <f>'Ann 2'!$C$7*100000*10%</f>
        <v>21500</v>
      </c>
      <c r="H19" s="35">
        <f>'Ann 2'!$C$7*100000*10%</f>
        <v>21500</v>
      </c>
      <c r="I19" s="35">
        <f>'Ann 2'!$C$7*100000*10%</f>
        <v>21500</v>
      </c>
      <c r="J19" s="35">
        <f>'Ann 2'!$C$7*100000*10%</f>
        <v>21500</v>
      </c>
      <c r="K19" s="35">
        <f>'Ann 2'!$C$7*100000*10%</f>
        <v>21500</v>
      </c>
    </row>
    <row r="20" spans="1:11" x14ac:dyDescent="0.6">
      <c r="A20" s="5"/>
      <c r="B20" s="36" t="s">
        <v>111</v>
      </c>
      <c r="C20" s="35">
        <f>SUM(C18:C19)</f>
        <v>142425.96153846156</v>
      </c>
      <c r="D20" s="35">
        <f t="shared" ref="D20:K20" si="5">SUM(D18:D19)</f>
        <v>127163.46153846153</v>
      </c>
      <c r="E20" s="35">
        <f t="shared" si="5"/>
        <v>108378.84615384614</v>
      </c>
      <c r="F20" s="35">
        <f t="shared" si="5"/>
        <v>89594.230769230751</v>
      </c>
      <c r="G20" s="35">
        <f t="shared" si="5"/>
        <v>70809.615384615347</v>
      </c>
      <c r="H20" s="35">
        <f t="shared" si="5"/>
        <v>52024.999999999971</v>
      </c>
      <c r="I20" s="35">
        <f t="shared" si="5"/>
        <v>33240.384615384581</v>
      </c>
      <c r="J20" s="35">
        <f t="shared" si="5"/>
        <v>21500</v>
      </c>
      <c r="K20" s="35">
        <f t="shared" si="5"/>
        <v>21500</v>
      </c>
    </row>
    <row r="21" spans="1:11" x14ac:dyDescent="0.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6">
      <c r="A22" s="5"/>
      <c r="B22" s="5" t="s">
        <v>112</v>
      </c>
      <c r="C22" s="35">
        <f t="shared" ref="C22:K22" si="6">C15-C20</f>
        <v>629574.0384615385</v>
      </c>
      <c r="D22" s="35">
        <f t="shared" si="6"/>
        <v>747136.5384615385</v>
      </c>
      <c r="E22" s="35">
        <f t="shared" si="6"/>
        <v>819816.15384615387</v>
      </c>
      <c r="F22" s="35">
        <f t="shared" si="6"/>
        <v>826363.01923076925</v>
      </c>
      <c r="G22" s="35">
        <f t="shared" si="6"/>
        <v>897660.49711538467</v>
      </c>
      <c r="H22" s="35">
        <f t="shared" si="6"/>
        <v>902952.99312500004</v>
      </c>
      <c r="I22" s="35">
        <f t="shared" si="6"/>
        <v>907570.88316586532</v>
      </c>
      <c r="J22" s="35">
        <f t="shared" si="6"/>
        <v>904436.20617031236</v>
      </c>
      <c r="K22" s="35">
        <f t="shared" si="6"/>
        <v>888817.39147882804</v>
      </c>
    </row>
    <row r="23" spans="1:11" x14ac:dyDescent="0.6">
      <c r="A23" s="5"/>
      <c r="B23" s="36" t="s">
        <v>113</v>
      </c>
      <c r="C23" s="35">
        <f>'Ann 9'!C12+'Ann 9'!D12+'Ann 9'!E12</f>
        <v>228500</v>
      </c>
      <c r="D23" s="35">
        <f>'Ann 9'!C13+'Ann 9'!D13+'Ann 9'!E13</f>
        <v>205650</v>
      </c>
      <c r="E23" s="35">
        <f>'Ann 9'!C14+'Ann 9'!D14+'Ann 9'!E14</f>
        <v>185085</v>
      </c>
      <c r="F23" s="35">
        <f>'Ann 9'!C15+'Ann 9'!D15+'Ann 9'!E15</f>
        <v>166576.5</v>
      </c>
      <c r="G23" s="35">
        <f>'Ann 9'!C16+'Ann 9'!D16+'Ann 9'!E16</f>
        <v>149918.85</v>
      </c>
      <c r="H23" s="35">
        <f>'Ann 9'!C17+'Ann 9'!D17+'Ann 9'!E17</f>
        <v>134926.965</v>
      </c>
      <c r="I23" s="35">
        <f>'Ann 9'!C18+'Ann 9'!D18+'Ann 9'!E18</f>
        <v>121434.26849999999</v>
      </c>
      <c r="J23" s="35">
        <f>'Ann 9'!C19+'Ann 9'!D19+'Ann 9'!E19</f>
        <v>109290.84165</v>
      </c>
      <c r="K23" s="35">
        <f>'Ann 9'!C20+'Ann 9'!D20+'Ann 9'!E20</f>
        <v>98361.757484999995</v>
      </c>
    </row>
    <row r="24" spans="1:11" x14ac:dyDescent="0.6">
      <c r="A24" s="5"/>
      <c r="B24" s="36" t="s">
        <v>114</v>
      </c>
      <c r="C24" s="35">
        <f>C22-C23</f>
        <v>401074.0384615385</v>
      </c>
      <c r="D24" s="35">
        <f t="shared" ref="D24:K24" si="7">D22-D23</f>
        <v>541486.5384615385</v>
      </c>
      <c r="E24" s="35">
        <f t="shared" si="7"/>
        <v>634731.15384615387</v>
      </c>
      <c r="F24" s="35">
        <f t="shared" si="7"/>
        <v>659786.51923076925</v>
      </c>
      <c r="G24" s="35">
        <f t="shared" si="7"/>
        <v>747741.64711538469</v>
      </c>
      <c r="H24" s="35">
        <f t="shared" si="7"/>
        <v>768026.02812500007</v>
      </c>
      <c r="I24" s="35">
        <f t="shared" si="7"/>
        <v>786136.61466586532</v>
      </c>
      <c r="J24" s="35">
        <f t="shared" si="7"/>
        <v>795145.3645203124</v>
      </c>
      <c r="K24" s="35">
        <f t="shared" si="7"/>
        <v>790455.63399382809</v>
      </c>
    </row>
    <row r="25" spans="1:11" x14ac:dyDescent="0.6">
      <c r="A25" s="5"/>
      <c r="B25" s="36" t="s">
        <v>115</v>
      </c>
      <c r="C25" s="35">
        <f>'Ann 10'!B14</f>
        <v>120322.21153846155</v>
      </c>
      <c r="D25" s="35">
        <f>'Ann 10'!C14</f>
        <v>162445.96153846153</v>
      </c>
      <c r="E25" s="35">
        <f>'Ann 10'!D14</f>
        <v>190419.34615384616</v>
      </c>
      <c r="F25" s="35">
        <f>'Ann 10'!E14</f>
        <v>197935.95576923076</v>
      </c>
      <c r="G25" s="35">
        <f>'Ann 10'!F14</f>
        <v>224322.49413461541</v>
      </c>
      <c r="H25" s="35">
        <f>'Ann 10'!G14</f>
        <v>230407.8084375</v>
      </c>
      <c r="I25" s="35">
        <f>'Ann 10'!H14</f>
        <v>235840.98439975959</v>
      </c>
      <c r="J25" s="35">
        <f>'Ann 10'!I14</f>
        <v>238543.60935609372</v>
      </c>
      <c r="K25" s="35">
        <f>'Ann 10'!J14</f>
        <v>237136.69019814843</v>
      </c>
    </row>
    <row r="26" spans="1:11" x14ac:dyDescent="0.6">
      <c r="A26" s="5"/>
      <c r="B26" s="36" t="s">
        <v>116</v>
      </c>
      <c r="C26" s="35">
        <f>C24-C25</f>
        <v>280751.82692307694</v>
      </c>
      <c r="D26" s="35">
        <f>D24-D25</f>
        <v>379040.57692307699</v>
      </c>
      <c r="E26" s="35">
        <f t="shared" ref="E26:K26" si="8">E24-E25</f>
        <v>444311.80769230775</v>
      </c>
      <c r="F26" s="35">
        <f t="shared" si="8"/>
        <v>461850.56346153852</v>
      </c>
      <c r="G26" s="35">
        <f t="shared" si="8"/>
        <v>523419.15298076929</v>
      </c>
      <c r="H26" s="35">
        <f t="shared" si="8"/>
        <v>537618.21968750004</v>
      </c>
      <c r="I26" s="35">
        <f t="shared" si="8"/>
        <v>550295.63026610576</v>
      </c>
      <c r="J26" s="35">
        <f t="shared" si="8"/>
        <v>556601.75516421872</v>
      </c>
      <c r="K26" s="35">
        <f t="shared" si="8"/>
        <v>553318.9437956796</v>
      </c>
    </row>
    <row r="27" spans="1:11" x14ac:dyDescent="0.6">
      <c r="A27" s="5"/>
      <c r="B27" s="36" t="s">
        <v>256</v>
      </c>
      <c r="C27" s="35">
        <f>C26*50%</f>
        <v>140375.91346153847</v>
      </c>
      <c r="D27" s="35">
        <f t="shared" ref="D27:K27" si="9">D26*50%</f>
        <v>189520.2884615385</v>
      </c>
      <c r="E27" s="35">
        <f t="shared" si="9"/>
        <v>222155.90384615387</v>
      </c>
      <c r="F27" s="35">
        <f t="shared" si="9"/>
        <v>230925.28173076926</v>
      </c>
      <c r="G27" s="35">
        <f t="shared" si="9"/>
        <v>261709.57649038464</v>
      </c>
      <c r="H27" s="35">
        <f t="shared" si="9"/>
        <v>268809.10984375002</v>
      </c>
      <c r="I27" s="35">
        <f t="shared" si="9"/>
        <v>275147.81513305288</v>
      </c>
      <c r="J27" s="35">
        <f t="shared" si="9"/>
        <v>278300.87758210936</v>
      </c>
      <c r="K27" s="35">
        <f t="shared" si="9"/>
        <v>276659.4718978398</v>
      </c>
    </row>
    <row r="28" spans="1:11" x14ac:dyDescent="0.6">
      <c r="A28" s="5"/>
      <c r="B28" s="36" t="s">
        <v>126</v>
      </c>
      <c r="C28" s="35">
        <f t="shared" ref="C28:K28" si="10">C26-C27</f>
        <v>140375.91346153847</v>
      </c>
      <c r="D28" s="35">
        <f t="shared" si="10"/>
        <v>189520.2884615385</v>
      </c>
      <c r="E28" s="35">
        <f t="shared" si="10"/>
        <v>222155.90384615387</v>
      </c>
      <c r="F28" s="35">
        <f t="shared" si="10"/>
        <v>230925.28173076926</v>
      </c>
      <c r="G28" s="35">
        <f t="shared" si="10"/>
        <v>261709.57649038464</v>
      </c>
      <c r="H28" s="35">
        <f t="shared" si="10"/>
        <v>268809.10984375002</v>
      </c>
      <c r="I28" s="35">
        <f t="shared" si="10"/>
        <v>275147.81513305288</v>
      </c>
      <c r="J28" s="35">
        <f t="shared" si="10"/>
        <v>278300.87758210936</v>
      </c>
      <c r="K28" s="35">
        <f t="shared" si="10"/>
        <v>276659.4718978398</v>
      </c>
    </row>
    <row r="30" spans="1:11" x14ac:dyDescent="0.6">
      <c r="A30" s="4" t="s">
        <v>255</v>
      </c>
    </row>
    <row r="31" spans="1:11" x14ac:dyDescent="0.6">
      <c r="A31" s="4" t="s">
        <v>168</v>
      </c>
    </row>
    <row r="32" spans="1:11" x14ac:dyDescent="0.6">
      <c r="B32" s="4" t="s">
        <v>195</v>
      </c>
      <c r="C32" s="4">
        <v>7500</v>
      </c>
      <c r="D32" s="4">
        <v>7500</v>
      </c>
      <c r="E32" s="4">
        <f>D32*1.05</f>
        <v>7875</v>
      </c>
      <c r="F32" s="4">
        <v>7875</v>
      </c>
      <c r="G32" s="4">
        <f>F32*1.05</f>
        <v>8268.75</v>
      </c>
      <c r="H32" s="4">
        <f>G32</f>
        <v>8268.75</v>
      </c>
      <c r="I32" s="4">
        <f>H32</f>
        <v>8268.75</v>
      </c>
      <c r="J32" s="4">
        <f t="shared" ref="J32:K32" si="11">I32</f>
        <v>8268.75</v>
      </c>
      <c r="K32" s="4">
        <f t="shared" si="11"/>
        <v>8268.75</v>
      </c>
    </row>
    <row r="33" spans="1:11" x14ac:dyDescent="0.6">
      <c r="B33" s="4" t="s">
        <v>78</v>
      </c>
      <c r="C33" s="4">
        <f>C32*10</f>
        <v>75000</v>
      </c>
      <c r="D33" s="4">
        <f t="shared" ref="D33:K33" si="12">D32*10</f>
        <v>75000</v>
      </c>
      <c r="E33" s="4">
        <f t="shared" si="12"/>
        <v>78750</v>
      </c>
      <c r="F33" s="4">
        <f t="shared" si="12"/>
        <v>78750</v>
      </c>
      <c r="G33" s="4">
        <f t="shared" si="12"/>
        <v>82687.5</v>
      </c>
      <c r="H33" s="4">
        <f t="shared" si="12"/>
        <v>82687.5</v>
      </c>
      <c r="I33" s="4">
        <f t="shared" si="12"/>
        <v>82687.5</v>
      </c>
      <c r="J33" s="4">
        <f t="shared" si="12"/>
        <v>82687.5</v>
      </c>
      <c r="K33" s="4">
        <f t="shared" si="12"/>
        <v>82687.5</v>
      </c>
    </row>
    <row r="34" spans="1:11" x14ac:dyDescent="0.6">
      <c r="A34" s="4" t="s">
        <v>257</v>
      </c>
    </row>
    <row r="35" spans="1:11" x14ac:dyDescent="0.6">
      <c r="A35" s="4" t="s">
        <v>259</v>
      </c>
    </row>
    <row r="36" spans="1:11" x14ac:dyDescent="0.6">
      <c r="A36" s="4" t="s">
        <v>267</v>
      </c>
    </row>
  </sheetData>
  <mergeCells count="3">
    <mergeCell ref="C3:K3"/>
    <mergeCell ref="B3:B4"/>
    <mergeCell ref="A3:A4"/>
  </mergeCells>
  <pageMargins left="0.7" right="0.7" top="0.75" bottom="0.75" header="0.3" footer="0.3"/>
  <pageSetup scale="65" orientation="landscape" r:id="rId1"/>
  <ignoredErrors>
    <ignoredError sqref="C18:D1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3"/>
  <sheetViews>
    <sheetView topLeftCell="A27" workbookViewId="0">
      <selection activeCell="C48" sqref="C48"/>
    </sheetView>
  </sheetViews>
  <sheetFormatPr defaultRowHeight="17" x14ac:dyDescent="0.6"/>
  <cols>
    <col min="1" max="1" width="8.7265625" style="4"/>
    <col min="2" max="2" width="28.26953125" style="4" customWidth="1"/>
    <col min="3" max="3" width="15.6328125" style="4" bestFit="1" customWidth="1"/>
    <col min="4" max="10" width="13.7265625" style="4" bestFit="1" customWidth="1"/>
    <col min="11" max="11" width="13.6328125" style="4" bestFit="1" customWidth="1"/>
    <col min="12" max="12" width="10" style="4" bestFit="1" customWidth="1"/>
    <col min="13" max="16384" width="8.7265625" style="4"/>
  </cols>
  <sheetData>
    <row r="1" spans="1:11" x14ac:dyDescent="0.6">
      <c r="A1" s="3" t="s">
        <v>127</v>
      </c>
    </row>
    <row r="3" spans="1:11" x14ac:dyDescent="0.6">
      <c r="A3" s="4" t="s">
        <v>128</v>
      </c>
    </row>
    <row r="5" spans="1:11" x14ac:dyDescent="0.6">
      <c r="A5" s="108" t="s">
        <v>43</v>
      </c>
      <c r="B5" s="108" t="s">
        <v>44</v>
      </c>
      <c r="C5" s="108" t="s">
        <v>54</v>
      </c>
      <c r="D5" s="108"/>
      <c r="E5" s="108"/>
      <c r="F5" s="108"/>
      <c r="G5" s="108"/>
      <c r="H5" s="108"/>
      <c r="I5" s="108"/>
      <c r="J5" s="108"/>
      <c r="K5" s="108"/>
    </row>
    <row r="6" spans="1:11" x14ac:dyDescent="0.6">
      <c r="A6" s="108"/>
      <c r="B6" s="108"/>
      <c r="C6" s="22" t="s">
        <v>45</v>
      </c>
      <c r="D6" s="22" t="s">
        <v>46</v>
      </c>
      <c r="E6" s="22" t="s">
        <v>47</v>
      </c>
      <c r="F6" s="22" t="s">
        <v>48</v>
      </c>
      <c r="G6" s="22" t="s">
        <v>49</v>
      </c>
      <c r="H6" s="22" t="s">
        <v>50</v>
      </c>
      <c r="I6" s="22" t="s">
        <v>51</v>
      </c>
      <c r="J6" s="22" t="s">
        <v>52</v>
      </c>
      <c r="K6" s="22" t="s">
        <v>53</v>
      </c>
    </row>
    <row r="7" spans="1:11" x14ac:dyDescent="0.6">
      <c r="A7" s="38" t="s">
        <v>162</v>
      </c>
      <c r="B7" s="39" t="s">
        <v>129</v>
      </c>
      <c r="C7" s="40"/>
      <c r="D7" s="40"/>
      <c r="E7" s="41"/>
      <c r="F7" s="41"/>
      <c r="G7" s="41"/>
      <c r="H7" s="41"/>
      <c r="I7" s="41"/>
      <c r="J7" s="41"/>
      <c r="K7" s="41"/>
    </row>
    <row r="8" spans="1:11" x14ac:dyDescent="0.6">
      <c r="A8" s="27">
        <v>1</v>
      </c>
      <c r="B8" s="10" t="s">
        <v>130</v>
      </c>
      <c r="C8" s="12"/>
      <c r="D8" s="12"/>
      <c r="E8" s="13"/>
      <c r="F8" s="13"/>
      <c r="G8" s="13"/>
      <c r="H8" s="13"/>
      <c r="I8" s="13"/>
      <c r="J8" s="13"/>
      <c r="K8" s="13"/>
    </row>
    <row r="9" spans="1:11" x14ac:dyDescent="0.6">
      <c r="A9" s="27"/>
      <c r="B9" s="10" t="s">
        <v>131</v>
      </c>
      <c r="C9" s="42">
        <f>'Ann 9'!C6+'Ann 9'!D6+'Ann 9'!E6</f>
        <v>2285000</v>
      </c>
      <c r="D9" s="43">
        <f>C11</f>
        <v>2056500</v>
      </c>
      <c r="E9" s="16">
        <f t="shared" ref="E9:K9" si="0">D11</f>
        <v>1850850</v>
      </c>
      <c r="F9" s="16">
        <f t="shared" si="0"/>
        <v>1665765</v>
      </c>
      <c r="G9" s="16">
        <f t="shared" si="0"/>
        <v>1499188.5</v>
      </c>
      <c r="H9" s="16">
        <f t="shared" si="0"/>
        <v>1349269.65</v>
      </c>
      <c r="I9" s="16">
        <f t="shared" si="0"/>
        <v>1214342.6849999998</v>
      </c>
      <c r="J9" s="16">
        <f t="shared" si="0"/>
        <v>1092908.4164999998</v>
      </c>
      <c r="K9" s="16">
        <f t="shared" si="0"/>
        <v>983617.57484999986</v>
      </c>
    </row>
    <row r="10" spans="1:11" x14ac:dyDescent="0.6">
      <c r="A10" s="27"/>
      <c r="B10" s="10" t="s">
        <v>132</v>
      </c>
      <c r="C10" s="42">
        <f>'Ann 9'!C12+'Ann 9'!D12+'Ann 9'!E12</f>
        <v>228500</v>
      </c>
      <c r="D10" s="43">
        <f>'Ann 9'!C13+'Ann 9'!D13+'Ann 9'!E13</f>
        <v>205650</v>
      </c>
      <c r="E10" s="16">
        <f>'Ann 9'!C14+'Ann 9'!D14+'Ann 9'!E14</f>
        <v>185085</v>
      </c>
      <c r="F10" s="16">
        <f>'Ann 9'!C15+'Ann 9'!D15+'Ann 9'!E15</f>
        <v>166576.5</v>
      </c>
      <c r="G10" s="16">
        <f>'Ann 9'!C16+'Ann 9'!D16+'Ann 9'!E16</f>
        <v>149918.85</v>
      </c>
      <c r="H10" s="16">
        <f>'Ann 9'!C17+'Ann 9'!D17+'Ann 9'!E17</f>
        <v>134926.965</v>
      </c>
      <c r="I10" s="16">
        <f>+'Ann 9'!C18+'Ann 9'!D18+'Ann 9'!E18</f>
        <v>121434.26849999999</v>
      </c>
      <c r="J10" s="16">
        <f>'Ann 9'!C19+'Ann 9'!D19+'Ann 9'!E19</f>
        <v>109290.84165</v>
      </c>
      <c r="K10" s="16">
        <f>+'Ann 9'!C20+'Ann 9'!D20+'Ann 9'!E20</f>
        <v>98361.757484999995</v>
      </c>
    </row>
    <row r="11" spans="1:11" x14ac:dyDescent="0.6">
      <c r="A11" s="27"/>
      <c r="B11" s="10" t="s">
        <v>133</v>
      </c>
      <c r="C11" s="42">
        <f>C9-C10</f>
        <v>2056500</v>
      </c>
      <c r="D11" s="43">
        <f>D9-D10</f>
        <v>1850850</v>
      </c>
      <c r="E11" s="16">
        <f t="shared" ref="E11:K11" si="1">E9-E10</f>
        <v>1665765</v>
      </c>
      <c r="F11" s="16">
        <f t="shared" si="1"/>
        <v>1499188.5</v>
      </c>
      <c r="G11" s="16">
        <f t="shared" si="1"/>
        <v>1349269.65</v>
      </c>
      <c r="H11" s="16">
        <f t="shared" si="1"/>
        <v>1214342.6849999998</v>
      </c>
      <c r="I11" s="16">
        <f t="shared" si="1"/>
        <v>1092908.4164999998</v>
      </c>
      <c r="J11" s="16">
        <f t="shared" si="1"/>
        <v>983617.57484999986</v>
      </c>
      <c r="K11" s="16">
        <f t="shared" si="1"/>
        <v>885255.81736499991</v>
      </c>
    </row>
    <row r="12" spans="1:11" x14ac:dyDescent="0.6">
      <c r="A12" s="27">
        <v>2</v>
      </c>
      <c r="B12" s="10" t="s">
        <v>134</v>
      </c>
      <c r="C12" s="42">
        <f>'Ann 4'!C14*30/360</f>
        <v>94500</v>
      </c>
      <c r="D12" s="42">
        <f>'Ann 4'!D14*30/360</f>
        <v>103950</v>
      </c>
      <c r="E12" s="42">
        <f>'Ann 4'!E14*30/360</f>
        <v>109725</v>
      </c>
      <c r="F12" s="42">
        <f>'Ann 4'!F14*30/360</f>
        <v>109725</v>
      </c>
      <c r="G12" s="42">
        <f>'Ann 4'!G14*30/360</f>
        <v>115500</v>
      </c>
      <c r="H12" s="42">
        <f>'Ann 4'!H14*30/360</f>
        <v>115500</v>
      </c>
      <c r="I12" s="42">
        <f>'Ann 4'!I14*30/360</f>
        <v>115500</v>
      </c>
      <c r="J12" s="42">
        <f>'Ann 4'!J14*30/360</f>
        <v>115500</v>
      </c>
      <c r="K12" s="42">
        <f>'Ann 4'!K14*30/360</f>
        <v>115500</v>
      </c>
    </row>
    <row r="13" spans="1:11" x14ac:dyDescent="0.6">
      <c r="A13" s="27">
        <v>3</v>
      </c>
      <c r="B13" s="10" t="s">
        <v>135</v>
      </c>
      <c r="C13" s="44">
        <f>'Ann 14'!B16</f>
        <v>335337.45192307694</v>
      </c>
      <c r="D13" s="44">
        <f>'Ann 14'!C16</f>
        <v>407980.81730769237</v>
      </c>
      <c r="E13" s="44">
        <f>'Ann 14'!D16</f>
        <v>496369.79807692312</v>
      </c>
      <c r="F13" s="44">
        <f>'Ann 14'!E16</f>
        <v>580794.65673076909</v>
      </c>
      <c r="G13" s="44">
        <f>'Ann 14'!F16</f>
        <v>673571.16014423082</v>
      </c>
      <c r="H13" s="44">
        <f>'Ann 14'!G16</f>
        <v>764230.3119110578</v>
      </c>
      <c r="I13" s="44">
        <f>'Ann 14'!H16</f>
        <v>847735.47246718779</v>
      </c>
      <c r="J13" s="44">
        <f>'Ann 14'!I16</f>
        <v>1235327.1916992972</v>
      </c>
      <c r="K13" s="44">
        <f>'Ann 14'!J16</f>
        <v>1610348.4210821372</v>
      </c>
    </row>
    <row r="14" spans="1:11" x14ac:dyDescent="0.6">
      <c r="A14" s="27"/>
      <c r="B14" s="10" t="s">
        <v>142</v>
      </c>
      <c r="C14" s="42">
        <f t="shared" ref="C14:K14" si="2">SUM(C11:C13)</f>
        <v>2486337.451923077</v>
      </c>
      <c r="D14" s="42">
        <f t="shared" si="2"/>
        <v>2362780.8173076925</v>
      </c>
      <c r="E14" s="45">
        <f t="shared" si="2"/>
        <v>2271859.798076923</v>
      </c>
      <c r="F14" s="45">
        <f t="shared" si="2"/>
        <v>2189708.1567307692</v>
      </c>
      <c r="G14" s="45">
        <f t="shared" si="2"/>
        <v>2138340.8101442307</v>
      </c>
      <c r="H14" s="45">
        <f t="shared" si="2"/>
        <v>2094072.9969110577</v>
      </c>
      <c r="I14" s="45">
        <f t="shared" si="2"/>
        <v>2056143.8889671876</v>
      </c>
      <c r="J14" s="45">
        <f t="shared" si="2"/>
        <v>2334444.7665492971</v>
      </c>
      <c r="K14" s="45">
        <f t="shared" si="2"/>
        <v>2611104.2384471372</v>
      </c>
    </row>
    <row r="15" spans="1:11" x14ac:dyDescent="0.6">
      <c r="A15" s="27"/>
      <c r="B15" s="10"/>
      <c r="C15" s="42"/>
      <c r="D15" s="42"/>
      <c r="E15" s="45"/>
      <c r="F15" s="45"/>
      <c r="G15" s="45"/>
      <c r="H15" s="45"/>
      <c r="I15" s="45"/>
      <c r="J15" s="45"/>
      <c r="K15" s="45"/>
    </row>
    <row r="16" spans="1:11" x14ac:dyDescent="0.6">
      <c r="A16" s="27" t="s">
        <v>163</v>
      </c>
      <c r="B16" s="9" t="s">
        <v>136</v>
      </c>
      <c r="C16" s="12"/>
      <c r="D16" s="12"/>
      <c r="E16" s="13"/>
      <c r="F16" s="13"/>
      <c r="G16" s="13"/>
      <c r="H16" s="13"/>
      <c r="I16" s="13"/>
      <c r="J16" s="13"/>
      <c r="K16" s="13"/>
    </row>
    <row r="17" spans="1:13" x14ac:dyDescent="0.6">
      <c r="A17" s="27">
        <v>1</v>
      </c>
      <c r="B17" s="10" t="s">
        <v>137</v>
      </c>
      <c r="C17" s="44">
        <f>'Ann 2'!C4*100000</f>
        <v>250000</v>
      </c>
      <c r="D17" s="44">
        <f>C20</f>
        <v>390375.9134615385</v>
      </c>
      <c r="E17" s="46">
        <f t="shared" ref="E17:K17" si="3">D20</f>
        <v>579896.20192307699</v>
      </c>
      <c r="F17" s="46">
        <f t="shared" si="3"/>
        <v>802052.10576923087</v>
      </c>
      <c r="G17" s="46">
        <f t="shared" si="3"/>
        <v>1032977.3875000002</v>
      </c>
      <c r="H17" s="46">
        <f t="shared" si="3"/>
        <v>1294686.9639903847</v>
      </c>
      <c r="I17" s="46">
        <f t="shared" si="3"/>
        <v>1563496.0738341347</v>
      </c>
      <c r="J17" s="46">
        <f t="shared" si="3"/>
        <v>1838643.8889671876</v>
      </c>
      <c r="K17" s="46">
        <f t="shared" si="3"/>
        <v>2116944.7665492971</v>
      </c>
    </row>
    <row r="18" spans="1:13" x14ac:dyDescent="0.6">
      <c r="A18" s="27"/>
      <c r="B18" s="10" t="s">
        <v>138</v>
      </c>
      <c r="C18" s="44">
        <f>'Ann 4'!C28</f>
        <v>140375.91346153847</v>
      </c>
      <c r="D18" s="44">
        <f>'Ann 4'!D28</f>
        <v>189520.2884615385</v>
      </c>
      <c r="E18" s="46">
        <f>'Ann 4'!E28</f>
        <v>222155.90384615387</v>
      </c>
      <c r="F18" s="46">
        <f>'Ann 4'!F28</f>
        <v>230925.28173076926</v>
      </c>
      <c r="G18" s="46">
        <f>'Ann 4'!G28</f>
        <v>261709.57649038464</v>
      </c>
      <c r="H18" s="46">
        <f>'Ann 4'!H28</f>
        <v>268809.10984375002</v>
      </c>
      <c r="I18" s="46">
        <f>'Ann 4'!I28</f>
        <v>275147.81513305288</v>
      </c>
      <c r="J18" s="46">
        <f>'Ann 4'!J28</f>
        <v>278300.87758210936</v>
      </c>
      <c r="K18" s="46">
        <f>'Ann 4'!K28</f>
        <v>276659.4718978398</v>
      </c>
    </row>
    <row r="19" spans="1:13" x14ac:dyDescent="0.6">
      <c r="A19" s="27"/>
      <c r="B19" s="10" t="s">
        <v>139</v>
      </c>
      <c r="C19" s="44">
        <v>0</v>
      </c>
      <c r="D19" s="44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3" x14ac:dyDescent="0.6">
      <c r="A20" s="27"/>
      <c r="B20" s="10" t="s">
        <v>140</v>
      </c>
      <c r="C20" s="44">
        <f>C17+C18</f>
        <v>390375.9134615385</v>
      </c>
      <c r="D20" s="44">
        <f t="shared" ref="D20:K20" si="4">D17+D18</f>
        <v>579896.20192307699</v>
      </c>
      <c r="E20" s="46">
        <f t="shared" si="4"/>
        <v>802052.10576923087</v>
      </c>
      <c r="F20" s="46">
        <f t="shared" si="4"/>
        <v>1032977.3875000002</v>
      </c>
      <c r="G20" s="46">
        <f t="shared" si="4"/>
        <v>1294686.9639903847</v>
      </c>
      <c r="H20" s="46">
        <f t="shared" si="4"/>
        <v>1563496.0738341347</v>
      </c>
      <c r="I20" s="46">
        <f t="shared" si="4"/>
        <v>1838643.8889671876</v>
      </c>
      <c r="J20" s="46">
        <f t="shared" si="4"/>
        <v>2116944.7665492971</v>
      </c>
      <c r="K20" s="46">
        <f t="shared" si="4"/>
        <v>2393604.2384471372</v>
      </c>
    </row>
    <row r="21" spans="1:13" x14ac:dyDescent="0.6">
      <c r="A21" s="27">
        <v>2</v>
      </c>
      <c r="B21" s="10" t="s">
        <v>28</v>
      </c>
      <c r="C21" s="44">
        <f>'Ann 13'!C13*100000</f>
        <v>1878461.5384615385</v>
      </c>
      <c r="D21" s="44">
        <f>'Ann 13'!C17*100000</f>
        <v>1565384.6153846153</v>
      </c>
      <c r="E21" s="44">
        <f>'Ann 13'!C21*100000</f>
        <v>1252307.692307692</v>
      </c>
      <c r="F21" s="44">
        <f>'Ann 13'!C25*100000</f>
        <v>939230.7692307689</v>
      </c>
      <c r="G21" s="46">
        <f>('Ann 13'!C28-'Ann 13'!D28)*100000</f>
        <v>626153.84615384566</v>
      </c>
      <c r="H21" s="46">
        <f>('Ann 13'!C32-'Ann 13'!D32)*100000</f>
        <v>313076.92307692248</v>
      </c>
      <c r="I21" s="46">
        <v>0</v>
      </c>
      <c r="J21" s="46">
        <v>0</v>
      </c>
      <c r="K21" s="46">
        <v>0</v>
      </c>
    </row>
    <row r="22" spans="1:13" x14ac:dyDescent="0.6">
      <c r="A22" s="27">
        <v>3</v>
      </c>
      <c r="B22" s="47" t="s">
        <v>178</v>
      </c>
      <c r="C22" s="44">
        <f>'Ann 1'!$C$22*100000</f>
        <v>215000</v>
      </c>
      <c r="D22" s="44">
        <f>'Ann 1'!$C$22*100000</f>
        <v>215000</v>
      </c>
      <c r="E22" s="44">
        <f>'Ann 1'!$C$22*100000</f>
        <v>215000</v>
      </c>
      <c r="F22" s="44">
        <f>'Ann 1'!$C$22*100000</f>
        <v>215000</v>
      </c>
      <c r="G22" s="44">
        <f>'Ann 1'!$C$22*100000</f>
        <v>215000</v>
      </c>
      <c r="H22" s="44">
        <f>'Ann 1'!$C$22*100000</f>
        <v>215000</v>
      </c>
      <c r="I22" s="44">
        <f>'Ann 1'!$C$22*100000</f>
        <v>215000</v>
      </c>
      <c r="J22" s="44">
        <f>'Ann 1'!$C$22*100000</f>
        <v>215000</v>
      </c>
      <c r="K22" s="44">
        <f>'Ann 1'!$C$22*100000</f>
        <v>215000</v>
      </c>
    </row>
    <row r="23" spans="1:13" x14ac:dyDescent="0.6">
      <c r="A23" s="27">
        <v>4</v>
      </c>
      <c r="B23" s="47" t="s">
        <v>174</v>
      </c>
      <c r="C23" s="44">
        <f>'Ann 4'!C10*60/360</f>
        <v>2500</v>
      </c>
      <c r="D23" s="44">
        <f>'Ann 4'!D10*60/360</f>
        <v>2500</v>
      </c>
      <c r="E23" s="44">
        <f>'Ann 4'!E10*60/360</f>
        <v>2500</v>
      </c>
      <c r="F23" s="44">
        <f>'Ann 4'!F10*60/360</f>
        <v>2500</v>
      </c>
      <c r="G23" s="44">
        <f>'Ann 4'!G10*60/360</f>
        <v>2500</v>
      </c>
      <c r="H23" s="44">
        <f>'Ann 4'!H10*60/360</f>
        <v>2500</v>
      </c>
      <c r="I23" s="44">
        <f>'Ann 4'!I10*60/360</f>
        <v>2500</v>
      </c>
      <c r="J23" s="44">
        <f>'Ann 4'!J10*60/360</f>
        <v>2500</v>
      </c>
      <c r="K23" s="44">
        <f>'Ann 4'!K10*60/360</f>
        <v>2500</v>
      </c>
    </row>
    <row r="24" spans="1:13" x14ac:dyDescent="0.6">
      <c r="A24" s="27"/>
      <c r="B24" s="10" t="s">
        <v>141</v>
      </c>
      <c r="C24" s="42">
        <f t="shared" ref="C24:K24" si="5">SUM(C20:C23)</f>
        <v>2486337.451923077</v>
      </c>
      <c r="D24" s="42">
        <f t="shared" si="5"/>
        <v>2362780.817307692</v>
      </c>
      <c r="E24" s="42">
        <f t="shared" si="5"/>
        <v>2271859.798076923</v>
      </c>
      <c r="F24" s="42">
        <f t="shared" si="5"/>
        <v>2189708.1567307692</v>
      </c>
      <c r="G24" s="42">
        <f t="shared" si="5"/>
        <v>2138340.8101442303</v>
      </c>
      <c r="H24" s="42">
        <f t="shared" si="5"/>
        <v>2094072.9969110573</v>
      </c>
      <c r="I24" s="42">
        <f t="shared" si="5"/>
        <v>2056143.8889671876</v>
      </c>
      <c r="J24" s="42">
        <f t="shared" si="5"/>
        <v>2334444.7665492971</v>
      </c>
      <c r="K24" s="42">
        <f t="shared" si="5"/>
        <v>2611104.2384471372</v>
      </c>
    </row>
    <row r="25" spans="1:13" x14ac:dyDescent="0.6">
      <c r="A25" s="27"/>
      <c r="B25" s="10"/>
      <c r="C25" s="42"/>
      <c r="D25" s="42"/>
      <c r="E25" s="42"/>
      <c r="F25" s="42"/>
      <c r="G25" s="42"/>
      <c r="H25" s="42"/>
      <c r="I25" s="42"/>
      <c r="J25" s="42"/>
      <c r="K25" s="42"/>
      <c r="L25" s="48"/>
      <c r="M25" s="10"/>
    </row>
    <row r="26" spans="1:13" s="3" customFormat="1" x14ac:dyDescent="0.6">
      <c r="A26" s="95"/>
      <c r="B26" s="96" t="s">
        <v>143</v>
      </c>
      <c r="C26" s="97"/>
      <c r="D26" s="97"/>
      <c r="E26" s="98"/>
      <c r="F26" s="98"/>
      <c r="G26" s="98"/>
      <c r="H26" s="98"/>
      <c r="I26" s="98"/>
      <c r="J26" s="98"/>
      <c r="K26" s="98"/>
    </row>
    <row r="27" spans="1:13" x14ac:dyDescent="0.6">
      <c r="A27" s="27"/>
      <c r="B27" s="10" t="s">
        <v>144</v>
      </c>
      <c r="C27" s="42">
        <f t="shared" ref="C27:K27" si="6">SUM(C12:C13)</f>
        <v>429837.45192307694</v>
      </c>
      <c r="D27" s="42">
        <f t="shared" si="6"/>
        <v>511930.81730769237</v>
      </c>
      <c r="E27" s="45">
        <f t="shared" si="6"/>
        <v>606094.79807692312</v>
      </c>
      <c r="F27" s="45">
        <f t="shared" si="6"/>
        <v>690519.65673076909</v>
      </c>
      <c r="G27" s="45">
        <f t="shared" si="6"/>
        <v>789071.16014423082</v>
      </c>
      <c r="H27" s="45">
        <f t="shared" si="6"/>
        <v>879730.3119110578</v>
      </c>
      <c r="I27" s="45">
        <f t="shared" si="6"/>
        <v>963235.47246718779</v>
      </c>
      <c r="J27" s="45">
        <f t="shared" si="6"/>
        <v>1350827.1916992972</v>
      </c>
      <c r="K27" s="45">
        <f t="shared" si="6"/>
        <v>1725848.4210821372</v>
      </c>
    </row>
    <row r="28" spans="1:13" x14ac:dyDescent="0.6">
      <c r="A28" s="27"/>
      <c r="B28" s="10" t="s">
        <v>145</v>
      </c>
      <c r="C28" s="42">
        <f>C23+C22</f>
        <v>217500</v>
      </c>
      <c r="D28" s="42">
        <f t="shared" ref="D28:K28" si="7">D23+D22</f>
        <v>217500</v>
      </c>
      <c r="E28" s="42">
        <f t="shared" si="7"/>
        <v>217500</v>
      </c>
      <c r="F28" s="42">
        <f t="shared" si="7"/>
        <v>217500</v>
      </c>
      <c r="G28" s="42">
        <f t="shared" si="7"/>
        <v>217500</v>
      </c>
      <c r="H28" s="42">
        <f t="shared" si="7"/>
        <v>217500</v>
      </c>
      <c r="I28" s="42">
        <f t="shared" si="7"/>
        <v>217500</v>
      </c>
      <c r="J28" s="42">
        <f t="shared" si="7"/>
        <v>217500</v>
      </c>
      <c r="K28" s="42">
        <f t="shared" si="7"/>
        <v>217500</v>
      </c>
    </row>
    <row r="29" spans="1:13" x14ac:dyDescent="0.6">
      <c r="A29" s="27"/>
      <c r="B29" s="10" t="s">
        <v>151</v>
      </c>
      <c r="C29" s="12">
        <f>C27/C28</f>
        <v>1.9762641467727675</v>
      </c>
      <c r="D29" s="12">
        <f>D27/D28</f>
        <v>2.3537049071618039</v>
      </c>
      <c r="E29" s="13">
        <f t="shared" ref="E29:K29" si="8">E27/E28</f>
        <v>2.7866427497789568</v>
      </c>
      <c r="F29" s="13">
        <f t="shared" si="8"/>
        <v>3.174803019451812</v>
      </c>
      <c r="G29" s="13">
        <f t="shared" si="8"/>
        <v>3.6279133799734749</v>
      </c>
      <c r="H29" s="13">
        <f t="shared" si="8"/>
        <v>4.0447370662577367</v>
      </c>
      <c r="I29" s="13">
        <f t="shared" si="8"/>
        <v>4.4286688389295987</v>
      </c>
      <c r="J29" s="13">
        <f t="shared" si="8"/>
        <v>6.2106997319507915</v>
      </c>
      <c r="K29" s="13">
        <f t="shared" si="8"/>
        <v>7.9349352693431596</v>
      </c>
    </row>
    <row r="30" spans="1:13" x14ac:dyDescent="0.6">
      <c r="A30" s="27"/>
      <c r="B30" s="10"/>
      <c r="C30" s="12"/>
      <c r="D30" s="12"/>
      <c r="E30" s="13"/>
      <c r="F30" s="13">
        <f>AVERAGE(C29:K29)</f>
        <v>4.0598187899577889</v>
      </c>
      <c r="G30" s="13"/>
      <c r="H30" s="13"/>
      <c r="I30" s="13"/>
      <c r="J30" s="13"/>
      <c r="K30" s="13"/>
    </row>
    <row r="31" spans="1:13" s="3" customFormat="1" x14ac:dyDescent="0.6">
      <c r="A31" s="95"/>
      <c r="B31" s="96" t="s">
        <v>148</v>
      </c>
      <c r="C31" s="97"/>
      <c r="D31" s="97"/>
      <c r="E31" s="98"/>
      <c r="F31" s="98"/>
      <c r="G31" s="98"/>
      <c r="H31" s="98"/>
      <c r="I31" s="98"/>
      <c r="J31" s="98"/>
      <c r="K31" s="98"/>
    </row>
    <row r="32" spans="1:13" x14ac:dyDescent="0.6">
      <c r="A32" s="27"/>
      <c r="B32" s="10" t="s">
        <v>149</v>
      </c>
      <c r="C32" s="42">
        <f>C21+C22</f>
        <v>2093461.5384615385</v>
      </c>
      <c r="D32" s="42">
        <f t="shared" ref="D32:K32" si="9">D21+D22</f>
        <v>1780384.6153846153</v>
      </c>
      <c r="E32" s="42">
        <f t="shared" si="9"/>
        <v>1467307.692307692</v>
      </c>
      <c r="F32" s="42">
        <f t="shared" si="9"/>
        <v>1154230.769230769</v>
      </c>
      <c r="G32" s="42">
        <f t="shared" si="9"/>
        <v>841153.84615384566</v>
      </c>
      <c r="H32" s="42">
        <f t="shared" si="9"/>
        <v>528076.92307692254</v>
      </c>
      <c r="I32" s="42">
        <f t="shared" si="9"/>
        <v>215000</v>
      </c>
      <c r="J32" s="42">
        <f t="shared" si="9"/>
        <v>215000</v>
      </c>
      <c r="K32" s="42">
        <f t="shared" si="9"/>
        <v>215000</v>
      </c>
    </row>
    <row r="33" spans="1:11" x14ac:dyDescent="0.6">
      <c r="A33" s="27"/>
      <c r="B33" s="10" t="s">
        <v>150</v>
      </c>
      <c r="C33" s="42">
        <f t="shared" ref="C33:K33" si="10">C20</f>
        <v>390375.9134615385</v>
      </c>
      <c r="D33" s="42">
        <f t="shared" si="10"/>
        <v>579896.20192307699</v>
      </c>
      <c r="E33" s="45">
        <f t="shared" si="10"/>
        <v>802052.10576923087</v>
      </c>
      <c r="F33" s="45">
        <f t="shared" si="10"/>
        <v>1032977.3875000002</v>
      </c>
      <c r="G33" s="45">
        <f t="shared" si="10"/>
        <v>1294686.9639903847</v>
      </c>
      <c r="H33" s="45">
        <f t="shared" si="10"/>
        <v>1563496.0738341347</v>
      </c>
      <c r="I33" s="45">
        <f t="shared" si="10"/>
        <v>1838643.8889671876</v>
      </c>
      <c r="J33" s="45">
        <f t="shared" si="10"/>
        <v>2116944.7665492971</v>
      </c>
      <c r="K33" s="45">
        <f t="shared" si="10"/>
        <v>2393604.2384471372</v>
      </c>
    </row>
    <row r="34" spans="1:11" x14ac:dyDescent="0.6">
      <c r="A34" s="27"/>
      <c r="B34" s="10" t="s">
        <v>151</v>
      </c>
      <c r="C34" s="12">
        <f>C32/C33</f>
        <v>5.3626811139509387</v>
      </c>
      <c r="D34" s="12">
        <f t="shared" ref="D34:K34" si="11">D32/D33</f>
        <v>3.070178093045663</v>
      </c>
      <c r="E34" s="13">
        <f t="shared" si="11"/>
        <v>1.8294418551528255</v>
      </c>
      <c r="F34" s="13">
        <f t="shared" si="11"/>
        <v>1.1173824163026693</v>
      </c>
      <c r="G34" s="13">
        <f t="shared" si="11"/>
        <v>0.64969669854503354</v>
      </c>
      <c r="H34" s="13">
        <f t="shared" si="11"/>
        <v>0.33775391695223672</v>
      </c>
      <c r="I34" s="45">
        <f t="shared" si="11"/>
        <v>0.11693400842333362</v>
      </c>
      <c r="J34" s="45">
        <f t="shared" si="11"/>
        <v>0.10156145941892401</v>
      </c>
      <c r="K34" s="45">
        <f t="shared" si="11"/>
        <v>8.9822701909770319E-2</v>
      </c>
    </row>
    <row r="35" spans="1:11" x14ac:dyDescent="0.6">
      <c r="A35" s="27"/>
      <c r="B35" s="47" t="s">
        <v>164</v>
      </c>
      <c r="C35" s="12"/>
      <c r="D35" s="12"/>
      <c r="E35" s="13"/>
      <c r="F35" s="13">
        <f>AVERAGE(C34:K34)</f>
        <v>1.4083835848557107</v>
      </c>
      <c r="G35" s="13"/>
      <c r="H35" s="13"/>
      <c r="I35" s="45"/>
      <c r="J35" s="45"/>
      <c r="K35" s="45"/>
    </row>
    <row r="36" spans="1:11" x14ac:dyDescent="0.6">
      <c r="A36" s="27"/>
      <c r="B36" s="10"/>
      <c r="C36" s="12"/>
      <c r="D36" s="12"/>
      <c r="E36" s="13"/>
      <c r="F36" s="13"/>
      <c r="G36" s="13"/>
      <c r="H36" s="13"/>
      <c r="I36" s="45"/>
      <c r="J36" s="45"/>
      <c r="K36" s="45"/>
    </row>
    <row r="37" spans="1:11" s="3" customFormat="1" x14ac:dyDescent="0.6">
      <c r="A37" s="95"/>
      <c r="B37" s="96" t="s">
        <v>165</v>
      </c>
      <c r="C37" s="97"/>
      <c r="D37" s="97"/>
      <c r="E37" s="98"/>
      <c r="F37" s="98"/>
      <c r="G37" s="98"/>
      <c r="H37" s="98"/>
      <c r="I37" s="99"/>
      <c r="J37" s="99"/>
      <c r="K37" s="99"/>
    </row>
    <row r="38" spans="1:11" x14ac:dyDescent="0.6">
      <c r="A38" s="27"/>
      <c r="B38" s="47" t="s">
        <v>166</v>
      </c>
      <c r="C38" s="42">
        <f t="shared" ref="C38:K38" si="12">C11</f>
        <v>2056500</v>
      </c>
      <c r="D38" s="42">
        <f t="shared" si="12"/>
        <v>1850850</v>
      </c>
      <c r="E38" s="42">
        <f t="shared" si="12"/>
        <v>1665765</v>
      </c>
      <c r="F38" s="42">
        <f t="shared" si="12"/>
        <v>1499188.5</v>
      </c>
      <c r="G38" s="42">
        <f t="shared" si="12"/>
        <v>1349269.65</v>
      </c>
      <c r="H38" s="42">
        <f t="shared" si="12"/>
        <v>1214342.6849999998</v>
      </c>
      <c r="I38" s="42">
        <f t="shared" si="12"/>
        <v>1092908.4164999998</v>
      </c>
      <c r="J38" s="42">
        <f t="shared" si="12"/>
        <v>983617.57484999986</v>
      </c>
      <c r="K38" s="42">
        <f t="shared" si="12"/>
        <v>885255.81736499991</v>
      </c>
    </row>
    <row r="39" spans="1:11" x14ac:dyDescent="0.6">
      <c r="A39" s="27"/>
      <c r="B39" s="47" t="s">
        <v>149</v>
      </c>
      <c r="C39" s="42">
        <f>C21+C22</f>
        <v>2093461.5384615385</v>
      </c>
      <c r="D39" s="42">
        <f t="shared" ref="D39:K39" si="13">D21+D22</f>
        <v>1780384.6153846153</v>
      </c>
      <c r="E39" s="42">
        <f t="shared" si="13"/>
        <v>1467307.692307692</v>
      </c>
      <c r="F39" s="42">
        <f t="shared" si="13"/>
        <v>1154230.769230769</v>
      </c>
      <c r="G39" s="42">
        <f t="shared" si="13"/>
        <v>841153.84615384566</v>
      </c>
      <c r="H39" s="42">
        <f t="shared" si="13"/>
        <v>528076.92307692254</v>
      </c>
      <c r="I39" s="42">
        <f t="shared" si="13"/>
        <v>215000</v>
      </c>
      <c r="J39" s="42">
        <f t="shared" si="13"/>
        <v>215000</v>
      </c>
      <c r="K39" s="42">
        <f t="shared" si="13"/>
        <v>215000</v>
      </c>
    </row>
    <row r="40" spans="1:11" x14ac:dyDescent="0.6">
      <c r="A40" s="27"/>
      <c r="B40" s="47" t="s">
        <v>160</v>
      </c>
      <c r="C40" s="12">
        <f>C38/C39</f>
        <v>0.98234429542531687</v>
      </c>
      <c r="D40" s="12">
        <f t="shared" ref="D40:K40" si="14">D38/D39</f>
        <v>1.0395787427090084</v>
      </c>
      <c r="E40" s="12">
        <f t="shared" si="14"/>
        <v>1.1352526867627788</v>
      </c>
      <c r="F40" s="12">
        <f t="shared" si="14"/>
        <v>1.2988637454181942</v>
      </c>
      <c r="G40" s="12">
        <f t="shared" si="14"/>
        <v>1.6040700000000008</v>
      </c>
      <c r="H40" s="12">
        <f t="shared" si="14"/>
        <v>2.2995564319009487</v>
      </c>
      <c r="I40" s="12">
        <f t="shared" si="14"/>
        <v>5.0832949604651159</v>
      </c>
      <c r="J40" s="12">
        <f t="shared" si="14"/>
        <v>4.5749654644186037</v>
      </c>
      <c r="K40" s="12">
        <f t="shared" si="14"/>
        <v>4.1174689179767441</v>
      </c>
    </row>
    <row r="41" spans="1:11" x14ac:dyDescent="0.6">
      <c r="A41" s="27"/>
      <c r="B41" s="47"/>
      <c r="C41" s="12"/>
      <c r="D41" s="12"/>
      <c r="E41" s="13"/>
      <c r="F41" s="13">
        <f>AVERAGE(C40:K40)</f>
        <v>2.4594883605640789</v>
      </c>
      <c r="G41" s="13"/>
      <c r="H41" s="13"/>
      <c r="I41" s="13"/>
      <c r="J41" s="13"/>
      <c r="K41" s="13"/>
    </row>
    <row r="42" spans="1:11" x14ac:dyDescent="0.6">
      <c r="A42" s="27"/>
      <c r="B42" s="10"/>
      <c r="C42" s="12"/>
      <c r="D42" s="12"/>
      <c r="E42" s="13"/>
      <c r="F42" s="13"/>
      <c r="G42" s="13"/>
      <c r="H42" s="13"/>
      <c r="I42" s="45"/>
      <c r="J42" s="45"/>
      <c r="K42" s="45"/>
    </row>
    <row r="43" spans="1:11" s="3" customFormat="1" x14ac:dyDescent="0.6">
      <c r="A43" s="95"/>
      <c r="B43" s="96" t="s">
        <v>157</v>
      </c>
      <c r="C43" s="97"/>
      <c r="D43" s="97"/>
      <c r="E43" s="98"/>
      <c r="F43" s="98"/>
      <c r="G43" s="98"/>
      <c r="H43" s="98"/>
      <c r="I43" s="99"/>
      <c r="J43" s="99"/>
      <c r="K43" s="99"/>
    </row>
    <row r="44" spans="1:11" x14ac:dyDescent="0.6">
      <c r="A44" s="27"/>
      <c r="B44" s="10" t="s">
        <v>158</v>
      </c>
      <c r="C44" s="44">
        <f>'Ann 4'!C20</f>
        <v>142425.96153846156</v>
      </c>
      <c r="D44" s="44">
        <f>'Ann 4'!D20</f>
        <v>127163.46153846153</v>
      </c>
      <c r="E44" s="44">
        <f>'Ann 4'!E20</f>
        <v>108378.84615384614</v>
      </c>
      <c r="F44" s="44">
        <f>'Ann 4'!F20</f>
        <v>89594.230769230751</v>
      </c>
      <c r="G44" s="44">
        <f>'Ann 4'!G20</f>
        <v>70809.615384615347</v>
      </c>
      <c r="H44" s="44">
        <f>'Ann 4'!H20</f>
        <v>52024.999999999971</v>
      </c>
      <c r="I44" s="44">
        <f>'Ann 4'!I20</f>
        <v>33240.384615384581</v>
      </c>
      <c r="J44" s="44">
        <f>'Ann 4'!J20</f>
        <v>21500</v>
      </c>
      <c r="K44" s="44">
        <f>'Ann 4'!K20</f>
        <v>21500</v>
      </c>
    </row>
    <row r="45" spans="1:11" x14ac:dyDescent="0.6">
      <c r="A45" s="27"/>
      <c r="B45" s="10" t="s">
        <v>161</v>
      </c>
      <c r="C45" s="44">
        <f>SUM('Ann 13'!D9:D12)*100000</f>
        <v>156538.46153846156</v>
      </c>
      <c r="D45" s="44">
        <f>SUM('Ann 13'!D13:D16)*100000</f>
        <v>313076.92307692312</v>
      </c>
      <c r="E45" s="46">
        <f>SUM('Ann 13'!D17:D20)*100000</f>
        <v>313076.92307692312</v>
      </c>
      <c r="F45" s="46">
        <f>SUM('Ann 13'!D21:D24)*100000</f>
        <v>313076.92307692312</v>
      </c>
      <c r="G45" s="46">
        <f>SUM('Ann 13'!D25:D28)*100000</f>
        <v>313076.92307692312</v>
      </c>
      <c r="H45" s="46">
        <f>SUM('Ann 13'!D29:D32)*100000</f>
        <v>313076.92307692312</v>
      </c>
      <c r="I45" s="46">
        <f>SUM('Ann 13'!D33:D36)*100000</f>
        <v>313076.92307692277</v>
      </c>
      <c r="J45" s="46">
        <v>0</v>
      </c>
      <c r="K45" s="46">
        <v>0</v>
      </c>
    </row>
    <row r="46" spans="1:11" x14ac:dyDescent="0.6">
      <c r="A46" s="27"/>
      <c r="B46" s="10" t="s">
        <v>8</v>
      </c>
      <c r="C46" s="44">
        <f>SUM(C44:C45)</f>
        <v>298964.42307692312</v>
      </c>
      <c r="D46" s="44">
        <f t="shared" ref="D46:K46" si="15">SUM(D44:D45)</f>
        <v>440240.38461538462</v>
      </c>
      <c r="E46" s="46">
        <f t="shared" si="15"/>
        <v>421455.76923076925</v>
      </c>
      <c r="F46" s="46">
        <f t="shared" si="15"/>
        <v>402671.15384615387</v>
      </c>
      <c r="G46" s="46">
        <f t="shared" si="15"/>
        <v>383886.5384615385</v>
      </c>
      <c r="H46" s="46">
        <f t="shared" si="15"/>
        <v>365101.92307692312</v>
      </c>
      <c r="I46" s="46">
        <f t="shared" si="15"/>
        <v>346317.30769230734</v>
      </c>
      <c r="J46" s="46">
        <f t="shared" si="15"/>
        <v>21500</v>
      </c>
      <c r="K46" s="46">
        <f t="shared" si="15"/>
        <v>21500</v>
      </c>
    </row>
    <row r="47" spans="1:11" x14ac:dyDescent="0.6">
      <c r="A47" s="27"/>
      <c r="B47" s="10" t="s">
        <v>159</v>
      </c>
      <c r="C47" s="44">
        <f>'Ann 4'!C15</f>
        <v>772000</v>
      </c>
      <c r="D47" s="44">
        <f>'Ann 4'!D15</f>
        <v>874300</v>
      </c>
      <c r="E47" s="46">
        <f>'Ann 4'!E15</f>
        <v>928195</v>
      </c>
      <c r="F47" s="46">
        <f>'Ann 4'!F15</f>
        <v>915957.25</v>
      </c>
      <c r="G47" s="46">
        <f>'Ann 4'!G15</f>
        <v>968470.11250000005</v>
      </c>
      <c r="H47" s="46">
        <f>'Ann 4'!H15</f>
        <v>954977.99312500004</v>
      </c>
      <c r="I47" s="46">
        <f>'Ann 4'!I15</f>
        <v>940811.26778124995</v>
      </c>
      <c r="J47" s="46">
        <f>'Ann 4'!J15</f>
        <v>925936.20617031236</v>
      </c>
      <c r="K47" s="46">
        <f>'Ann 4'!K15</f>
        <v>910317.39147882804</v>
      </c>
    </row>
    <row r="48" spans="1:11" x14ac:dyDescent="0.6">
      <c r="A48" s="49"/>
      <c r="B48" s="50" t="s">
        <v>160</v>
      </c>
      <c r="C48" s="19">
        <f>C47/C46</f>
        <v>2.582247051520794</v>
      </c>
      <c r="D48" s="19">
        <f t="shared" ref="D48:K48" si="16">D47/D46</f>
        <v>1.9859604674019875</v>
      </c>
      <c r="E48" s="51">
        <f t="shared" si="16"/>
        <v>2.2023544764712053</v>
      </c>
      <c r="F48" s="51">
        <f t="shared" si="16"/>
        <v>2.2747029213569001</v>
      </c>
      <c r="G48" s="51">
        <f t="shared" si="16"/>
        <v>2.5228030041929457</v>
      </c>
      <c r="H48" s="51">
        <f t="shared" si="16"/>
        <v>2.6156476664840689</v>
      </c>
      <c r="I48" s="51">
        <f t="shared" si="16"/>
        <v>2.7166163714148901</v>
      </c>
      <c r="J48" s="51">
        <f t="shared" si="16"/>
        <v>43.066800286991274</v>
      </c>
      <c r="K48" s="51">
        <f t="shared" si="16"/>
        <v>42.340343789712932</v>
      </c>
    </row>
    <row r="49" spans="1:11" x14ac:dyDescent="0.6">
      <c r="A49" s="10"/>
      <c r="B49" s="47" t="s">
        <v>164</v>
      </c>
      <c r="C49" s="10"/>
      <c r="D49" s="10"/>
      <c r="E49" s="10"/>
      <c r="F49" s="10">
        <f>AVERAGE(C48:G48)</f>
        <v>2.3136135841887664</v>
      </c>
      <c r="G49" s="10"/>
      <c r="H49" s="10"/>
      <c r="I49" s="10"/>
      <c r="J49" s="10"/>
      <c r="K49" s="10"/>
    </row>
    <row r="50" spans="1:11" x14ac:dyDescent="0.6">
      <c r="I50" s="52"/>
      <c r="J50" s="52"/>
      <c r="K50" s="52"/>
    </row>
    <row r="52" spans="1:11" x14ac:dyDescent="0.6">
      <c r="A52" s="4" t="s">
        <v>146</v>
      </c>
    </row>
    <row r="53" spans="1:11" x14ac:dyDescent="0.6">
      <c r="A53" s="4" t="s">
        <v>147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2"/>
  <sheetViews>
    <sheetView workbookViewId="0">
      <selection activeCell="E7" sqref="E7"/>
    </sheetView>
  </sheetViews>
  <sheetFormatPr defaultRowHeight="17" x14ac:dyDescent="0.6"/>
  <cols>
    <col min="1" max="1" width="5.6328125" style="4" bestFit="1" customWidth="1"/>
    <col min="2" max="2" width="26.08984375" style="4" bestFit="1" customWidth="1"/>
    <col min="3" max="3" width="8.7265625" style="4"/>
    <col min="4" max="4" width="25" style="4" bestFit="1" customWidth="1"/>
    <col min="5" max="5" width="12.54296875" style="4" bestFit="1" customWidth="1"/>
    <col min="6" max="16384" width="8.7265625" style="4"/>
  </cols>
  <sheetData>
    <row r="1" spans="1:5" x14ac:dyDescent="0.6">
      <c r="A1" s="3" t="s">
        <v>171</v>
      </c>
    </row>
    <row r="3" spans="1:5" x14ac:dyDescent="0.6">
      <c r="A3" s="53" t="s">
        <v>172</v>
      </c>
    </row>
    <row r="5" spans="1:5" x14ac:dyDescent="0.6">
      <c r="A5" s="8" t="s">
        <v>58</v>
      </c>
      <c r="B5" s="8" t="s">
        <v>59</v>
      </c>
      <c r="C5" s="8" t="s">
        <v>60</v>
      </c>
      <c r="D5" s="8" t="s">
        <v>61</v>
      </c>
      <c r="E5" s="8" t="s">
        <v>253</v>
      </c>
    </row>
    <row r="6" spans="1:5" x14ac:dyDescent="0.6">
      <c r="A6" s="36" t="s">
        <v>62</v>
      </c>
      <c r="B6" s="36" t="s">
        <v>64</v>
      </c>
      <c r="C6" s="36">
        <v>1</v>
      </c>
      <c r="D6" s="54">
        <v>10000</v>
      </c>
      <c r="E6" s="54">
        <f>D6*C6*12</f>
        <v>120000</v>
      </c>
    </row>
    <row r="7" spans="1:5" x14ac:dyDescent="0.6">
      <c r="A7" s="5" t="s">
        <v>63</v>
      </c>
      <c r="B7" s="5" t="s">
        <v>173</v>
      </c>
      <c r="C7" s="5">
        <v>1</v>
      </c>
      <c r="D7" s="54">
        <v>8500</v>
      </c>
      <c r="E7" s="54">
        <f>D7*C7*12</f>
        <v>102000</v>
      </c>
    </row>
    <row r="8" spans="1:5" x14ac:dyDescent="0.6">
      <c r="A8" s="109" t="s">
        <v>8</v>
      </c>
      <c r="B8" s="109"/>
      <c r="C8" s="109"/>
      <c r="D8" s="109"/>
      <c r="E8" s="35">
        <f>SUM(E6:E7)</f>
        <v>222000</v>
      </c>
    </row>
    <row r="10" spans="1:5" x14ac:dyDescent="0.6">
      <c r="A10" s="4" t="s">
        <v>65</v>
      </c>
      <c r="E10" s="52">
        <f>E8</f>
        <v>222000</v>
      </c>
    </row>
    <row r="11" spans="1:5" x14ac:dyDescent="0.6">
      <c r="A11" s="4" t="s">
        <v>66</v>
      </c>
      <c r="E11" s="55">
        <v>0.05</v>
      </c>
    </row>
    <row r="12" spans="1:5" x14ac:dyDescent="0.6">
      <c r="A12" s="4" t="s">
        <v>175</v>
      </c>
      <c r="E12" s="4">
        <f>SUM(C6:C7)</f>
        <v>2</v>
      </c>
    </row>
  </sheetData>
  <mergeCells count="1">
    <mergeCell ref="A8:D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1"/>
  <sheetViews>
    <sheetView topLeftCell="A6" workbookViewId="0">
      <selection activeCell="D12" sqref="D12"/>
    </sheetView>
  </sheetViews>
  <sheetFormatPr defaultRowHeight="17" x14ac:dyDescent="0.6"/>
  <cols>
    <col min="1" max="1" width="6.36328125" style="4" bestFit="1" customWidth="1"/>
    <col min="2" max="2" width="18.81640625" style="4" bestFit="1" customWidth="1"/>
    <col min="3" max="3" width="19.453125" style="4" bestFit="1" customWidth="1"/>
    <col min="4" max="4" width="18.08984375" style="4" bestFit="1" customWidth="1"/>
    <col min="5" max="5" width="14.453125" style="4" bestFit="1" customWidth="1"/>
    <col min="6" max="6" width="14.36328125" style="4" bestFit="1" customWidth="1"/>
    <col min="7" max="16384" width="8.7265625" style="4"/>
  </cols>
  <sheetData>
    <row r="1" spans="1:6" x14ac:dyDescent="0.6">
      <c r="A1" s="3" t="s">
        <v>69</v>
      </c>
    </row>
    <row r="3" spans="1:6" x14ac:dyDescent="0.6">
      <c r="A3" s="53" t="s">
        <v>68</v>
      </c>
    </row>
    <row r="5" spans="1:6" x14ac:dyDescent="0.6">
      <c r="A5" s="8" t="s">
        <v>24</v>
      </c>
      <c r="B5" s="8" t="s">
        <v>3</v>
      </c>
      <c r="C5" s="8" t="s">
        <v>72</v>
      </c>
      <c r="D5" s="8" t="s">
        <v>11</v>
      </c>
      <c r="E5" s="8" t="s">
        <v>73</v>
      </c>
      <c r="F5" s="8" t="s">
        <v>74</v>
      </c>
    </row>
    <row r="6" spans="1:6" x14ac:dyDescent="0.6">
      <c r="A6" s="5" t="s">
        <v>62</v>
      </c>
      <c r="B6" s="5" t="s">
        <v>13</v>
      </c>
      <c r="C6" s="54">
        <f>'Ann 1'!C12*100000</f>
        <v>400000</v>
      </c>
      <c r="D6" s="54">
        <f>'Ann 3'!G21</f>
        <v>1885000</v>
      </c>
      <c r="E6" s="54">
        <v>0</v>
      </c>
      <c r="F6" s="5">
        <f>SUM(C6:E6)/100000</f>
        <v>22.85</v>
      </c>
    </row>
    <row r="7" spans="1:6" x14ac:dyDescent="0.6">
      <c r="A7" s="5" t="s">
        <v>63</v>
      </c>
      <c r="B7" s="5" t="s">
        <v>70</v>
      </c>
      <c r="C7" s="54">
        <v>0</v>
      </c>
      <c r="D7" s="54">
        <v>0</v>
      </c>
      <c r="E7" s="54">
        <v>0</v>
      </c>
      <c r="F7" s="54">
        <f>SUM(C7:E7)/100000</f>
        <v>0</v>
      </c>
    </row>
    <row r="8" spans="1:6" x14ac:dyDescent="0.6">
      <c r="A8" s="5" t="s">
        <v>67</v>
      </c>
      <c r="B8" s="5" t="s">
        <v>71</v>
      </c>
      <c r="C8" s="54">
        <v>0</v>
      </c>
      <c r="D8" s="54">
        <v>0</v>
      </c>
      <c r="E8" s="54">
        <v>0</v>
      </c>
      <c r="F8" s="54">
        <f>SUM(C8:E8)/100000</f>
        <v>0</v>
      </c>
    </row>
    <row r="9" spans="1:6" x14ac:dyDescent="0.6">
      <c r="A9" s="5"/>
      <c r="B9" s="109" t="s">
        <v>8</v>
      </c>
      <c r="C9" s="109"/>
      <c r="D9" s="109"/>
      <c r="E9" s="109"/>
      <c r="F9" s="5">
        <f>SUM(F6:F8)</f>
        <v>22.85</v>
      </c>
    </row>
    <row r="11" spans="1:6" x14ac:dyDescent="0.6">
      <c r="A11" s="8" t="s">
        <v>93</v>
      </c>
      <c r="B11" s="60" t="s">
        <v>75</v>
      </c>
      <c r="C11" s="61">
        <v>0.1</v>
      </c>
      <c r="D11" s="61">
        <v>0.1</v>
      </c>
      <c r="E11" s="61">
        <v>0.1</v>
      </c>
      <c r="F11" s="8" t="s">
        <v>8</v>
      </c>
    </row>
    <row r="12" spans="1:6" x14ac:dyDescent="0.6">
      <c r="A12" s="57" t="s">
        <v>76</v>
      </c>
      <c r="B12" s="58">
        <v>1</v>
      </c>
      <c r="C12" s="59">
        <f>C11*C6</f>
        <v>40000</v>
      </c>
      <c r="D12" s="59">
        <f>D11*D6</f>
        <v>188500</v>
      </c>
      <c r="E12" s="59">
        <f>E11*E6</f>
        <v>0</v>
      </c>
      <c r="F12" s="59">
        <f>SUM(C12:E12)</f>
        <v>228500</v>
      </c>
    </row>
    <row r="13" spans="1:6" x14ac:dyDescent="0.6">
      <c r="A13" s="57" t="s">
        <v>76</v>
      </c>
      <c r="B13" s="58">
        <v>2</v>
      </c>
      <c r="C13" s="59">
        <f>(C6-C12)*C11</f>
        <v>36000</v>
      </c>
      <c r="D13" s="59">
        <f>(D6-D12)*D11</f>
        <v>169650</v>
      </c>
      <c r="E13" s="59">
        <f>(E6-E12)*E11</f>
        <v>0</v>
      </c>
      <c r="F13" s="59">
        <f>SUM(C13:E13)</f>
        <v>205650</v>
      </c>
    </row>
    <row r="14" spans="1:6" x14ac:dyDescent="0.6">
      <c r="A14" s="57" t="s">
        <v>76</v>
      </c>
      <c r="B14" s="58">
        <v>3</v>
      </c>
      <c r="C14" s="59">
        <f>(C6-C12-C13)*C11</f>
        <v>32400</v>
      </c>
      <c r="D14" s="59">
        <f>(D6-D12-D13)*D11</f>
        <v>152685</v>
      </c>
      <c r="E14" s="59">
        <f>(E6-E12-E13)*E11</f>
        <v>0</v>
      </c>
      <c r="F14" s="59">
        <f t="shared" ref="F14:F20" si="0">SUM(C14:E14)</f>
        <v>185085</v>
      </c>
    </row>
    <row r="15" spans="1:6" x14ac:dyDescent="0.6">
      <c r="A15" s="57" t="s">
        <v>76</v>
      </c>
      <c r="B15" s="58">
        <v>4</v>
      </c>
      <c r="C15" s="59">
        <f>(C6-C12-C13-C14)*C11</f>
        <v>29160</v>
      </c>
      <c r="D15" s="59">
        <f>(D6-D12-D13-D14)*D11</f>
        <v>137416.5</v>
      </c>
      <c r="E15" s="59">
        <f>(E6-E12-E13-E14)*E11</f>
        <v>0</v>
      </c>
      <c r="F15" s="59">
        <f t="shared" si="0"/>
        <v>166576.5</v>
      </c>
    </row>
    <row r="16" spans="1:6" x14ac:dyDescent="0.6">
      <c r="A16" s="57" t="s">
        <v>76</v>
      </c>
      <c r="B16" s="58">
        <v>5</v>
      </c>
      <c r="C16" s="59">
        <f>(C6-C12-C13-C14-C15)*C11</f>
        <v>26244</v>
      </c>
      <c r="D16" s="59">
        <f>(D6-D12-D13-D14-D15)*D11</f>
        <v>123674.85</v>
      </c>
      <c r="E16" s="59">
        <f>(E6-E12-E13-E14-E15)*E11</f>
        <v>0</v>
      </c>
      <c r="F16" s="59">
        <f t="shared" si="0"/>
        <v>149918.85</v>
      </c>
    </row>
    <row r="17" spans="1:6" x14ac:dyDescent="0.6">
      <c r="A17" s="57" t="s">
        <v>76</v>
      </c>
      <c r="B17" s="58">
        <v>6</v>
      </c>
      <c r="C17" s="59">
        <f>(C6-C12-C13-C14-C15-C16)*C11</f>
        <v>23619.600000000002</v>
      </c>
      <c r="D17" s="59">
        <f>(D6-D12-D13-D14-D15-D16)*D11</f>
        <v>111307.36499999999</v>
      </c>
      <c r="E17" s="59">
        <f>(E6-E12-E13-E14-E15-E16)*E11</f>
        <v>0</v>
      </c>
      <c r="F17" s="59">
        <f t="shared" si="0"/>
        <v>134926.965</v>
      </c>
    </row>
    <row r="18" spans="1:6" x14ac:dyDescent="0.6">
      <c r="A18" s="57" t="s">
        <v>76</v>
      </c>
      <c r="B18" s="58">
        <v>7</v>
      </c>
      <c r="C18" s="59">
        <f>(C6-C12-C13-C14-C15-C16-C17)*C11</f>
        <v>21257.64</v>
      </c>
      <c r="D18" s="59">
        <f>(D6-D12-D13-D14-D15-D16-D17)*D11</f>
        <v>100176.62849999999</v>
      </c>
      <c r="E18" s="59">
        <f>(E6-E12-E13-E14-E15-E16-E17)*E11</f>
        <v>0</v>
      </c>
      <c r="F18" s="59">
        <f t="shared" si="0"/>
        <v>121434.26849999999</v>
      </c>
    </row>
    <row r="19" spans="1:6" x14ac:dyDescent="0.6">
      <c r="A19" s="57" t="s">
        <v>76</v>
      </c>
      <c r="B19" s="58">
        <v>8</v>
      </c>
      <c r="C19" s="59">
        <f>(C6-C12-C13-C14-C15-C16-C17-C18)*C11</f>
        <v>19131.876</v>
      </c>
      <c r="D19" s="59">
        <f>(D6-D12-D13-D14-D15-D16-D17-D18)*D11</f>
        <v>90158.965649999998</v>
      </c>
      <c r="E19" s="59">
        <f>(E6-E12-E13-E14-E15-E16-E17-E18)*E11</f>
        <v>0</v>
      </c>
      <c r="F19" s="59">
        <f t="shared" si="0"/>
        <v>109290.84165</v>
      </c>
    </row>
    <row r="20" spans="1:6" x14ac:dyDescent="0.6">
      <c r="A20" s="57" t="s">
        <v>76</v>
      </c>
      <c r="B20" s="58">
        <v>9</v>
      </c>
      <c r="C20" s="59">
        <f>(C6-C12-C13-C14-C15-C16-C17-C18-C19)*C11</f>
        <v>17218.688400000003</v>
      </c>
      <c r="D20" s="59">
        <f>(D6-D12-D13-D14-D15-D16-D17-D18-D19)*D11</f>
        <v>81143.069084999996</v>
      </c>
      <c r="E20" s="59">
        <f>(E6-E12-E13-E14-E15-E16-E17-E18-E19)*E11</f>
        <v>0</v>
      </c>
      <c r="F20" s="59">
        <f t="shared" si="0"/>
        <v>98361.757484999995</v>
      </c>
    </row>
    <row r="21" spans="1:6" x14ac:dyDescent="0.6">
      <c r="B21" s="21"/>
    </row>
  </sheetData>
  <mergeCells count="1">
    <mergeCell ref="B9:E9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A5" sqref="A5:A6"/>
    </sheetView>
  </sheetViews>
  <sheetFormatPr defaultRowHeight="17" x14ac:dyDescent="0.6"/>
  <cols>
    <col min="1" max="1" width="18" style="4" bestFit="1" customWidth="1"/>
    <col min="2" max="10" width="13.6328125" style="4" bestFit="1" customWidth="1"/>
    <col min="11" max="16384" width="8.7265625" style="4"/>
  </cols>
  <sheetData>
    <row r="1" spans="1:10" x14ac:dyDescent="0.6">
      <c r="A1" s="3" t="s">
        <v>117</v>
      </c>
    </row>
    <row r="3" spans="1:10" x14ac:dyDescent="0.6">
      <c r="A3" s="53" t="s">
        <v>118</v>
      </c>
    </row>
    <row r="5" spans="1:10" x14ac:dyDescent="0.6">
      <c r="A5" s="107" t="s">
        <v>3</v>
      </c>
      <c r="B5" s="107" t="s">
        <v>54</v>
      </c>
      <c r="C5" s="107"/>
      <c r="D5" s="107"/>
      <c r="E5" s="107"/>
      <c r="F5" s="107"/>
      <c r="G5" s="107"/>
      <c r="H5" s="107"/>
      <c r="I5" s="107"/>
      <c r="J5" s="107"/>
    </row>
    <row r="6" spans="1:10" x14ac:dyDescent="0.6">
      <c r="A6" s="107"/>
      <c r="B6" s="37" t="s">
        <v>45</v>
      </c>
      <c r="C6" s="37" t="s">
        <v>46</v>
      </c>
      <c r="D6" s="37" t="s">
        <v>47</v>
      </c>
      <c r="E6" s="37" t="s">
        <v>48</v>
      </c>
      <c r="F6" s="37" t="s">
        <v>49</v>
      </c>
      <c r="G6" s="37" t="s">
        <v>50</v>
      </c>
      <c r="H6" s="37" t="s">
        <v>51</v>
      </c>
      <c r="I6" s="37" t="s">
        <v>52</v>
      </c>
      <c r="J6" s="37" t="s">
        <v>53</v>
      </c>
    </row>
    <row r="7" spans="1:10" x14ac:dyDescent="0.6">
      <c r="A7" s="5" t="s">
        <v>119</v>
      </c>
      <c r="B7" s="54">
        <f>'Ann 4'!C22</f>
        <v>629574.0384615385</v>
      </c>
      <c r="C7" s="54">
        <f>'Ann 4'!D22</f>
        <v>747136.5384615385</v>
      </c>
      <c r="D7" s="54">
        <f>'Ann 4'!E22</f>
        <v>819816.15384615387</v>
      </c>
      <c r="E7" s="54">
        <f>'Ann 4'!F22</f>
        <v>826363.01923076925</v>
      </c>
      <c r="F7" s="54">
        <f>'Ann 4'!G22</f>
        <v>897660.49711538467</v>
      </c>
      <c r="G7" s="54">
        <f>'Ann 4'!H22</f>
        <v>902952.99312500004</v>
      </c>
      <c r="H7" s="54">
        <f>'Ann 4'!I22</f>
        <v>907570.88316586532</v>
      </c>
      <c r="I7" s="54">
        <f>'Ann 4'!J22</f>
        <v>904436.20617031236</v>
      </c>
      <c r="J7" s="54">
        <f>'Ann 4'!K22</f>
        <v>888817.39147882804</v>
      </c>
    </row>
    <row r="8" spans="1:10" x14ac:dyDescent="0.6">
      <c r="A8" s="5" t="s">
        <v>120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</row>
    <row r="9" spans="1:10" x14ac:dyDescent="0.6">
      <c r="A9" s="5" t="s">
        <v>121</v>
      </c>
      <c r="B9" s="54">
        <f>B7+B8</f>
        <v>629574.0384615385</v>
      </c>
      <c r="C9" s="54">
        <f t="shared" ref="C9:J9" si="0">C7+C8</f>
        <v>747136.5384615385</v>
      </c>
      <c r="D9" s="54">
        <f t="shared" si="0"/>
        <v>819816.15384615387</v>
      </c>
      <c r="E9" s="54">
        <f t="shared" si="0"/>
        <v>826363.01923076925</v>
      </c>
      <c r="F9" s="54">
        <f t="shared" si="0"/>
        <v>897660.49711538467</v>
      </c>
      <c r="G9" s="54">
        <f t="shared" si="0"/>
        <v>902952.99312500004</v>
      </c>
      <c r="H9" s="54">
        <f t="shared" si="0"/>
        <v>907570.88316586532</v>
      </c>
      <c r="I9" s="54">
        <f t="shared" si="0"/>
        <v>904436.20617031236</v>
      </c>
      <c r="J9" s="54">
        <f t="shared" si="0"/>
        <v>888817.39147882804</v>
      </c>
    </row>
    <row r="10" spans="1:10" x14ac:dyDescent="0.6">
      <c r="A10" s="5" t="s">
        <v>122</v>
      </c>
      <c r="B10" s="54">
        <f>SUM('Ann 9'!C12:E12)</f>
        <v>228500</v>
      </c>
      <c r="C10" s="54">
        <f>SUM('Ann 9'!C13:E13)</f>
        <v>205650</v>
      </c>
      <c r="D10" s="54">
        <f>SUM('Ann 9'!C14:E14)</f>
        <v>185085</v>
      </c>
      <c r="E10" s="54">
        <f>SUM('Ann 9'!C15:E15)</f>
        <v>166576.5</v>
      </c>
      <c r="F10" s="54">
        <f>SUM('Ann 9'!C16:E16)</f>
        <v>149918.85</v>
      </c>
      <c r="G10" s="54">
        <f>SUM('Ann 9'!C17:E17)</f>
        <v>134926.965</v>
      </c>
      <c r="H10" s="54">
        <f>SUM('Ann 9'!C18:E18)</f>
        <v>121434.26849999999</v>
      </c>
      <c r="I10" s="54">
        <f>SUM('Ann 9'!C19:E19)</f>
        <v>109290.84165</v>
      </c>
      <c r="J10" s="54">
        <f>SUM('Ann 9'!C20:E20)</f>
        <v>98361.757484999995</v>
      </c>
    </row>
    <row r="11" spans="1:10" x14ac:dyDescent="0.6">
      <c r="A11" s="5" t="s">
        <v>121</v>
      </c>
      <c r="B11" s="54">
        <f>B9-B10</f>
        <v>401074.0384615385</v>
      </c>
      <c r="C11" s="54">
        <f t="shared" ref="C11:J11" si="1">C9-C10</f>
        <v>541486.5384615385</v>
      </c>
      <c r="D11" s="54">
        <f t="shared" si="1"/>
        <v>634731.15384615387</v>
      </c>
      <c r="E11" s="54">
        <f t="shared" si="1"/>
        <v>659786.51923076925</v>
      </c>
      <c r="F11" s="54">
        <f t="shared" si="1"/>
        <v>747741.64711538469</v>
      </c>
      <c r="G11" s="54">
        <f t="shared" si="1"/>
        <v>768026.02812500007</v>
      </c>
      <c r="H11" s="54">
        <f t="shared" si="1"/>
        <v>786136.61466586532</v>
      </c>
      <c r="I11" s="54">
        <f t="shared" si="1"/>
        <v>795145.3645203124</v>
      </c>
      <c r="J11" s="54">
        <f t="shared" si="1"/>
        <v>790455.63399382809</v>
      </c>
    </row>
    <row r="12" spans="1:10" x14ac:dyDescent="0.6">
      <c r="A12" s="5" t="s">
        <v>123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</row>
    <row r="13" spans="1:10" x14ac:dyDescent="0.6">
      <c r="A13" s="5" t="s">
        <v>124</v>
      </c>
      <c r="B13" s="35">
        <f>B11</f>
        <v>401074.0384615385</v>
      </c>
      <c r="C13" s="35">
        <f t="shared" ref="C13:J13" si="2">C11</f>
        <v>541486.5384615385</v>
      </c>
      <c r="D13" s="35">
        <f t="shared" si="2"/>
        <v>634731.15384615387</v>
      </c>
      <c r="E13" s="35">
        <f t="shared" si="2"/>
        <v>659786.51923076925</v>
      </c>
      <c r="F13" s="35">
        <f t="shared" si="2"/>
        <v>747741.64711538469</v>
      </c>
      <c r="G13" s="35">
        <f t="shared" si="2"/>
        <v>768026.02812500007</v>
      </c>
      <c r="H13" s="35">
        <f t="shared" si="2"/>
        <v>786136.61466586532</v>
      </c>
      <c r="I13" s="35">
        <f t="shared" si="2"/>
        <v>795145.3645203124</v>
      </c>
      <c r="J13" s="35">
        <f t="shared" si="2"/>
        <v>790455.63399382809</v>
      </c>
    </row>
    <row r="14" spans="1:10" x14ac:dyDescent="0.6">
      <c r="A14" s="5" t="s">
        <v>125</v>
      </c>
      <c r="B14" s="35">
        <f>B13*30%</f>
        <v>120322.21153846155</v>
      </c>
      <c r="C14" s="35">
        <f t="shared" ref="C14:J14" si="3">C13*30%</f>
        <v>162445.96153846153</v>
      </c>
      <c r="D14" s="35">
        <f t="shared" si="3"/>
        <v>190419.34615384616</v>
      </c>
      <c r="E14" s="35">
        <f t="shared" si="3"/>
        <v>197935.95576923076</v>
      </c>
      <c r="F14" s="35">
        <f t="shared" si="3"/>
        <v>224322.49413461541</v>
      </c>
      <c r="G14" s="35">
        <f t="shared" si="3"/>
        <v>230407.8084375</v>
      </c>
      <c r="H14" s="35">
        <f t="shared" si="3"/>
        <v>235840.98439975959</v>
      </c>
      <c r="I14" s="35">
        <f t="shared" si="3"/>
        <v>238543.60935609372</v>
      </c>
      <c r="J14" s="35">
        <f t="shared" si="3"/>
        <v>237136.69019814843</v>
      </c>
    </row>
  </sheetData>
  <mergeCells count="2">
    <mergeCell ref="B5:J5"/>
    <mergeCell ref="A5:A6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For word file</vt:lpstr>
      <vt:lpstr>Ann 14</vt:lpstr>
      <vt:lpstr>Assumptions</vt:lpstr>
      <vt:lpstr>Budgets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2021-08-18T09:02:54Z</cp:lastPrinted>
  <dcterms:created xsi:type="dcterms:W3CDTF">2021-07-04T07:21:16Z</dcterms:created>
  <dcterms:modified xsi:type="dcterms:W3CDTF">2021-08-18T09:04:21Z</dcterms:modified>
</cp:coreProperties>
</file>